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nv5inc.sharepoint.com/sites/DelawareEEIFImplementation/Shared Documents/General/DNREC - EEIF - DNREC EEIF/Calculators/Calculator Files/SEU Energize DE_NonProfits/"/>
    </mc:Choice>
  </mc:AlternateContent>
  <xr:revisionPtr revIDLastSave="45" documentId="8_{A70F8BE8-B52E-44FD-B4BA-A0CE8F5BB3FE}" xr6:coauthVersionLast="47" xr6:coauthVersionMax="47" xr10:uidLastSave="{93BFE758-1FE3-48A0-804A-7AF47E3315CD}"/>
  <workbookProtection workbookAlgorithmName="SHA-512" workbookHashValue="t+9i4WYfpg8rXl7YMckvCRqFLMFwMzU6o/Q6jgRth7r0PHS5/dTR3IHk6DtZQRPtMFsOEK4l+rR3yXK+OUPnYQ==" workbookSaltValue="E2aVNaREG6TucbQyUxKAzw==" workbookSpinCount="100000" lockStructure="1"/>
  <bookViews>
    <workbookView xWindow="28680" yWindow="-120" windowWidth="29040" windowHeight="15840" tabRatio="737" xr2:uid="{67C80E3D-6554-42D3-AA74-4D1432D01365}"/>
  </bookViews>
  <sheets>
    <sheet name="Summary" sheetId="61" r:id="rId1"/>
    <sheet name="Calculator Instructions" sheetId="42" r:id="rId2"/>
    <sheet name="Incentive Levels" sheetId="64" r:id="rId3"/>
    <sheet name="Lookups" sheetId="10" state="hidden" r:id="rId4"/>
    <sheet name="Approved Pre-Rinse Sprayers" sheetId="78" state="hidden" r:id="rId5"/>
    <sheet name="Ice Machine" sheetId="17" r:id="rId6"/>
    <sheet name="Dishwasher" sheetId="63" r:id="rId7"/>
    <sheet name="Freezers" sheetId="15" r:id="rId8"/>
    <sheet name="Clothes Washers" sheetId="81" r:id="rId9"/>
    <sheet name="Ovens" sheetId="82" r:id="rId10"/>
    <sheet name="Fryer" sheetId="83" r:id="rId11"/>
    <sheet name="Griddle" sheetId="84" r:id="rId12"/>
    <sheet name="Hot Food Holding Cabinet" sheetId="85" r:id="rId13"/>
    <sheet name="Steam Cooker" sheetId="86" r:id="rId14"/>
    <sheet name="Night Cover for Refrig. Cases" sheetId="74" r:id="rId15"/>
    <sheet name="Anti-Sweat Heater Controls" sheetId="75" r:id="rId16"/>
    <sheet name="Refrigeration Door Gasket" sheetId="87" r:id="rId17"/>
    <sheet name="Pre-Rinse Spray Valves" sheetId="88" r:id="rId18"/>
    <sheet name="Pre-Rinse Lookups" sheetId="90" state="hidden" r:id="rId19"/>
    <sheet name="Version History" sheetId="43" state="hidden" r:id="rId20"/>
  </sheets>
  <externalReferences>
    <externalReference r:id="rId21"/>
    <externalReference r:id="rId22"/>
    <externalReference r:id="rId23"/>
    <externalReference r:id="rId24"/>
  </externalReferences>
  <definedNames>
    <definedName name="ACC_Cost">'[1]HVAC Equipment Lookups'!$S$13:$U$17</definedName>
    <definedName name="ACC_FL">'[1]HVAC Equipment Lookups'!$S$12:$U$12</definedName>
    <definedName name="ACC_size">'[1]HVAC Equipment Lookups'!$R$13:$R$17</definedName>
    <definedName name="Air_Source" localSheetId="18">'Pre-Rinse Lookups'!$B$44:$B$45</definedName>
    <definedName name="Air_Source">Lookups!$B$44:$B$45</definedName>
    <definedName name="All_Fixtures">'[2]Fixture Codes'!$B$8:$B$920</definedName>
    <definedName name="amountCostAdditional">Summary!$C$13</definedName>
    <definedName name="amountCostLabor">Summary!$C$12</definedName>
    <definedName name="amountCostMaterials">Summary!$C$11</definedName>
    <definedName name="amountCostTotal">Summary!$C$14</definedName>
    <definedName name="amountEstimatedIncentive">Summary!$F$13</definedName>
    <definedName name="BaselineControlType" localSheetId="18">'Pre-Rinse Lookups'!$K$230:$K$238</definedName>
    <definedName name="BaselineControlType" localSheetId="17">[3]Lookups!$K$230:$K$238</definedName>
    <definedName name="BaselineControlType">Lookups!$K$230:$K$238</definedName>
    <definedName name="BuildingList">#REF!</definedName>
    <definedName name="BuildingType">#REF!</definedName>
    <definedName name="BuildingTypefromApp">[2]Lookups!$A$1:$A$34</definedName>
    <definedName name="BuildingTypes">'[1]HVAC Lookups'!$H$4:$H$40</definedName>
    <definedName name="CapacityUnits">'[4]HVAC Name Lookups'!$B$12:$B$13</definedName>
    <definedName name="Centrifugal_Cost">'[1]HVAC Equipment Lookups'!$AC$13:$AE$17</definedName>
    <definedName name="Centrifugal_FL">'[1]HVAC Equipment Lookups'!$AC$12:$AE$12</definedName>
    <definedName name="Centrifugal_size">'[1]HVAC Equipment Lookups'!$AB$13:$AB$17</definedName>
    <definedName name="CF">'[1]VFD Calculations'!$C$8</definedName>
    <definedName name="Condensing_Boiler" localSheetId="18">'Pre-Rinse Lookups'!$V$61:$V$63</definedName>
    <definedName name="Condensing_Boiler">Lookups!$V$61:$V$63</definedName>
    <definedName name="dateExpectedCompletion">Summary!$C$9</definedName>
    <definedName name="DischargeDamper" localSheetId="18">'Pre-Rinse Lookups'!$L$231:$U$231</definedName>
    <definedName name="DischargeDamper" localSheetId="17">[3]Lookups!$L$231:$U$231</definedName>
    <definedName name="DischargeDamper">Lookups!$L$231:$U$231</definedName>
    <definedName name="DMS_Cost">'[1]HVAC Equipment Lookups'!$V$45:$Y$48</definedName>
    <definedName name="DMS_PL">'[1]HVAC Equipment Lookups'!$U$45:$U$48</definedName>
    <definedName name="DMS_size">'[1]HVAC Equipment Lookups'!$V$44:$Y$44</definedName>
    <definedName name="DSF">'[1]VFD Calculations'!$G$4:$G$6</definedName>
    <definedName name="EddyCurrentDrives" localSheetId="18">'Pre-Rinse Lookups'!$L$237:$U$237</definedName>
    <definedName name="EddyCurrentDrives" localSheetId="17">[3]Lookups!$L$237:$U$237</definedName>
    <definedName name="EddyCurrentDrives">Lookups!$L$237:$U$237</definedName>
    <definedName name="EfficiencyLevel">#REF!</definedName>
    <definedName name="EfficiencyUnits">'[4]HVAC Name Lookups'!$B$8:$B$9</definedName>
    <definedName name="EFLHc">'[1]HVAC Lookups'!$J$4:$J$40</definedName>
    <definedName name="EFLHchiller">'[1]HVAC Lookups'!$L$4:$L$40</definedName>
    <definedName name="EFLHh">'[1]HVAC Lookups'!$K$4:$K$40</definedName>
    <definedName name="EquipmentType">#REF!</definedName>
    <definedName name="ESF">'[1]VFD Calculations'!$F$4:$F$6</definedName>
    <definedName name="FlowFraction" localSheetId="18">'Pre-Rinse Lookups'!$L$229:$U$229</definedName>
    <definedName name="FlowFraction" localSheetId="17">[3]Lookups!$L$229:$U$229</definedName>
    <definedName name="FlowFraction">Lookups!$L$229:$U$229</definedName>
    <definedName name="Ground_Source" localSheetId="18">'Pre-Rinse Lookups'!$B$54:$B$54</definedName>
    <definedName name="Ground_Source">Lookups!$B$54:$B$54</definedName>
    <definedName name="HeatingType" localSheetId="18">'Pre-Rinse Lookups'!$C$209:$C$212</definedName>
    <definedName name="HeatingType" localSheetId="17">[3]Lookups!$C$209:$C$212</definedName>
    <definedName name="HeatingType">Lookups!$C$209:$C$212</definedName>
    <definedName name="Hfg" localSheetId="18">'Pre-Rinse Lookups'!$W$80:$W$93</definedName>
    <definedName name="Hfg">Lookups!$W$80:$W$93</definedName>
    <definedName name="Hours">'[1]VFD Calculations'!$D$43:$F$79</definedName>
    <definedName name="HVAC" localSheetId="18">'Pre-Rinse Lookups'!$B$209:$B$212</definedName>
    <definedName name="HVAC" localSheetId="17">[3]Lookups!$B$209:$B$212</definedName>
    <definedName name="HVAC">Lookups!$B$209:$B$212</definedName>
    <definedName name="incentives">'[1]VFD Calculations'!$I$43:$I$58</definedName>
    <definedName name="InletDamper" localSheetId="18">'Pre-Rinse Lookups'!$L$233:$U$233</definedName>
    <definedName name="InletDamper" localSheetId="17">[3]Lookups!$L$233:$U$233</definedName>
    <definedName name="InletDamper">Lookups!$L$233:$U$233</definedName>
    <definedName name="InletGuideVane" localSheetId="18">'Pre-Rinse Lookups'!$L$234:$U$234</definedName>
    <definedName name="InletGuideVane" localSheetId="17">[3]Lookups!$L$234:$U$234</definedName>
    <definedName name="InletGuideVane">Lookups!$L$234:$U$234</definedName>
    <definedName name="InletGuideVaneFCFan" localSheetId="18">'Pre-Rinse Lookups'!$L$238:$U$238</definedName>
    <definedName name="InletGuideVaneFCFan" localSheetId="17">[3]Lookups!$L$238:$U$238</definedName>
    <definedName name="InletGuideVaneFCFan">Lookups!$L$238:$U$238</definedName>
    <definedName name="InletVaneDamper" localSheetId="18">'Pre-Rinse Lookups'!$L$235:$U$235</definedName>
    <definedName name="InletVaneDamper" localSheetId="17">[3]Lookups!$L$235:$U$235</definedName>
    <definedName name="InletVaneDamper">Lookups!$L$235:$U$235</definedName>
    <definedName name="installation">'[1]Smart Thermostat Lookups'!$E$12:$E$15</definedName>
    <definedName name="InstallationType">'Pre-Rinse Lookups'!#REF!</definedName>
    <definedName name="LF">'[1]VFD Calculations'!$C$7</definedName>
    <definedName name="Location">#REF!</definedName>
    <definedName name="MaufYear">'[1]HVAC Lookups'!#REF!</definedName>
    <definedName name="motorsizes">'[1]VFD Calculations'!$H$43:$H$58</definedName>
    <definedName name="NewConstruction">#REF!</definedName>
    <definedName name="nobypass">'[1]VFD Calculations'!$N$43:$N$58</definedName>
    <definedName name="NoControl" localSheetId="18">'Pre-Rinse Lookups'!$L$230:$U$230</definedName>
    <definedName name="NoControl" localSheetId="17">[3]Lookups!$L$230:$U$230</definedName>
    <definedName name="NoControl">Lookups!$L$230:$U$230</definedName>
    <definedName name="Non_Condensing_Boiler" localSheetId="18">'Pre-Rinse Lookups'!$V$62</definedName>
    <definedName name="Non_Condensing_Boiler">Lookups!$V$62</definedName>
    <definedName name="numAnnualSavingskWh">Summary!$F$9</definedName>
    <definedName name="numAnnualSavingsMMBtu">Summary!$G$9</definedName>
    <definedName name="numAnnualSavingstherms">Summary!$H$9</definedName>
    <definedName name="numAnnualSavingsTonCO2">Summary!$I$9</definedName>
    <definedName name="numPeakDemandSavingskW">Summary!$E$9</definedName>
    <definedName name="OutletDamper" localSheetId="18">'Pre-Rinse Lookups'!$L$232:$U$232</definedName>
    <definedName name="OutletDamper" localSheetId="17">[3]Lookups!$L$232:$U$232</definedName>
    <definedName name="OutletDamper">Lookups!$L$232:$U$232</definedName>
    <definedName name="OutletDamperFCFans" localSheetId="18">'Pre-Rinse Lookups'!$L$236:$U$236</definedName>
    <definedName name="OutletDamperFCFans" localSheetId="17">[3]Lookups!$L$236:$U$236</definedName>
    <definedName name="OutletDamperFCFans">Lookups!$L$236:$U$236</definedName>
    <definedName name="percentCostCap">Summary!$F$14</definedName>
    <definedName name="PostControlTypes">'[1]VFD Calculations'!$B$23:$B$24</definedName>
    <definedName name="PreControlTypes">'[1]VFD Calculations'!$B$14:$B$22</definedName>
    <definedName name="Pressure" localSheetId="18">'Pre-Rinse Lookups'!$V$80:$V$93</definedName>
    <definedName name="Pressure">Lookups!$V$80:$V$93</definedName>
    <definedName name="ProjectType">#REF!</definedName>
    <definedName name="ReplacementType">'[1]HVAC Lookups'!$B$3:$B$5</definedName>
    <definedName name="Retrofit">#REF!</definedName>
    <definedName name="RetrofitControlType" localSheetId="18">'Pre-Rinse Lookups'!$K$239:$K$240</definedName>
    <definedName name="RetrofitControlType" localSheetId="17">[3]Lookups!$K$239:$K$240</definedName>
    <definedName name="RetrofitControlType">Lookups!$K$239:$K$240</definedName>
    <definedName name="RHRSChilledWater" localSheetId="18">'Pre-Rinse Lookups'!$D$232:$D$291</definedName>
    <definedName name="RHRSChilledWater" localSheetId="17">[3]Lookups!$D$232:$D$291</definedName>
    <definedName name="RHRSChilledWater">Lookups!$D$232:$D$291</definedName>
    <definedName name="RHRSFan" localSheetId="18">'Pre-Rinse Lookups'!$C$232:$C$291</definedName>
    <definedName name="RHRSFan" localSheetId="17">[3]Lookups!$C$232:$C$291</definedName>
    <definedName name="RHRSFan">Lookups!$C$232:$C$291</definedName>
    <definedName name="RHRSHeating" localSheetId="18">'Pre-Rinse Lookups'!$E$232:$E$291</definedName>
    <definedName name="RHRSHeating" localSheetId="17">[3]Lookups!$E$232:$E$291</definedName>
    <definedName name="RHRSHeating">Lookups!$E$232:$E$291</definedName>
    <definedName name="Scroll_Cost">'[1]HVAC Equipment Lookups'!$X$13:$AA$16</definedName>
    <definedName name="Scroll_FL">'[1]HVAC Equipment Lookups'!$X$12:$AA$12</definedName>
    <definedName name="Scroll_size">'[1]HVAC Equipment Lookups'!$W$13:$W$16</definedName>
    <definedName name="SpaceType">#REF!</definedName>
    <definedName name="StatCost">'[1]Smart Thermostat Lookups'!$F$12:$F$15</definedName>
    <definedName name="TerminalMin">'[1]HVAC Equipment Lookups'!$M$68:$M$70</definedName>
    <definedName name="TimeofSale">#REF!</definedName>
    <definedName name="txtBuildingType">Summary!$C$7</definedName>
    <definedName name="txtZipCode">Summary!$C$8</definedName>
    <definedName name="Units">#REF!</definedName>
    <definedName name="VFDApplication" localSheetId="18">'Pre-Rinse Lookups'!$K$222:$K$224</definedName>
    <definedName name="VFDApplication" localSheetId="17">[3]Lookups!$K$222:$K$224</definedName>
    <definedName name="VFDApplication">Lookups!$K$222:$K$224</definedName>
    <definedName name="VFDapps">'[1]VFD Calculations'!$D$42:$F$42</definedName>
    <definedName name="VFDBuildingType">#REF!</definedName>
    <definedName name="VFDDuctStaticPressure" localSheetId="18">'Pre-Rinse Lookups'!$L$239:$U$239</definedName>
    <definedName name="VFDDuctStaticPressure" localSheetId="17">[3]Lookups!$L$239:$U$239</definedName>
    <definedName name="VFDDuctStaticPressure">Lookups!$L$239:$U$239</definedName>
    <definedName name="VFDLowDuctStaticPressure" localSheetId="18">'Pre-Rinse Lookups'!$L$240:$U$240</definedName>
    <definedName name="VFDLowDuctStaticPressure" localSheetId="17">[3]Lookups!$L$240:$U$240</definedName>
    <definedName name="VFDLowDuctStaticPressure">Lookups!$L$240:$U$240</definedName>
    <definedName name="Water_Source">'Pre-Rinse Lookups'!#REF!</definedName>
    <definedName name="withbypass">'[1]VFD Calculations'!$M$43:$M$58</definedName>
    <definedName name="YN">'[1]VFD Calculations'!$P$43:$P$45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61" l="1" a="1"/>
  <c r="O18" i="61" s="1"/>
  <c r="N18" i="61"/>
  <c r="P18" i="61"/>
  <c r="T6" i="88" l="1"/>
  <c r="T7" i="88"/>
  <c r="T8" i="88"/>
  <c r="T9" i="88"/>
  <c r="T10" i="88"/>
  <c r="T11" i="88"/>
  <c r="T12" i="88"/>
  <c r="T5" i="88"/>
  <c r="N6" i="88"/>
  <c r="N7" i="88"/>
  <c r="N8" i="88"/>
  <c r="N9" i="88"/>
  <c r="N10" i="88"/>
  <c r="N11" i="88"/>
  <c r="N12" i="88"/>
  <c r="N5" i="88"/>
  <c r="K12" i="88"/>
  <c r="K11" i="88"/>
  <c r="K10" i="88"/>
  <c r="K9" i="88"/>
  <c r="K8" i="88"/>
  <c r="K7" i="88"/>
  <c r="K6" i="88"/>
  <c r="K5" i="88"/>
  <c r="U229" i="90"/>
  <c r="T229" i="90"/>
  <c r="S229" i="90"/>
  <c r="R229" i="90"/>
  <c r="Q229" i="90"/>
  <c r="P229" i="90"/>
  <c r="O229" i="90"/>
  <c r="N229" i="90"/>
  <c r="M229" i="90"/>
  <c r="L229" i="90"/>
  <c r="V240" i="90" s="1"/>
  <c r="I175" i="90"/>
  <c r="M150" i="90"/>
  <c r="M149" i="90"/>
  <c r="M148" i="90"/>
  <c r="M147" i="90"/>
  <c r="M146" i="90"/>
  <c r="M145" i="90"/>
  <c r="M144" i="90"/>
  <c r="M143" i="90"/>
  <c r="M142" i="90"/>
  <c r="M141" i="90"/>
  <c r="M140" i="90"/>
  <c r="M139" i="90"/>
  <c r="M138" i="90"/>
  <c r="F138" i="90"/>
  <c r="M137" i="90"/>
  <c r="M136" i="90"/>
  <c r="M135" i="90"/>
  <c r="M132" i="90"/>
  <c r="M131" i="90"/>
  <c r="M130" i="90"/>
  <c r="M129" i="90"/>
  <c r="M128" i="90"/>
  <c r="M127" i="90"/>
  <c r="M126" i="90"/>
  <c r="M125" i="90"/>
  <c r="M124" i="90"/>
  <c r="M123" i="90"/>
  <c r="M122" i="90"/>
  <c r="M121" i="90"/>
  <c r="M120" i="90"/>
  <c r="M119" i="90"/>
  <c r="M118" i="90"/>
  <c r="M117" i="90"/>
  <c r="M113" i="90"/>
  <c r="M112" i="90"/>
  <c r="M111" i="90"/>
  <c r="M110" i="90"/>
  <c r="M109" i="90"/>
  <c r="M108" i="90"/>
  <c r="M107" i="90"/>
  <c r="M106" i="90"/>
  <c r="M105" i="90"/>
  <c r="M104" i="90"/>
  <c r="M103" i="90"/>
  <c r="M102" i="90"/>
  <c r="Q101" i="90"/>
  <c r="P101" i="90"/>
  <c r="M101" i="90"/>
  <c r="M100" i="90"/>
  <c r="M99" i="90"/>
  <c r="M98" i="90"/>
  <c r="M97" i="90"/>
  <c r="Q96" i="90"/>
  <c r="P96" i="90"/>
  <c r="M96" i="90"/>
  <c r="M95" i="90"/>
  <c r="M94" i="90"/>
  <c r="M93" i="90"/>
  <c r="M92" i="90"/>
  <c r="M91" i="90"/>
  <c r="M90" i="90"/>
  <c r="P85" i="90"/>
  <c r="O85" i="90"/>
  <c r="M85" i="90"/>
  <c r="M83" i="90"/>
  <c r="M82" i="90"/>
  <c r="M81" i="90"/>
  <c r="M80" i="90"/>
  <c r="M79" i="90"/>
  <c r="M78" i="90"/>
  <c r="M77" i="90"/>
  <c r="M76" i="90"/>
  <c r="Z75" i="90"/>
  <c r="M75" i="90"/>
  <c r="Z74" i="90"/>
  <c r="M74" i="90"/>
  <c r="Z73" i="90"/>
  <c r="M73" i="90"/>
  <c r="Z72" i="90"/>
  <c r="M72" i="90"/>
  <c r="Z71" i="90"/>
  <c r="N71" i="90"/>
  <c r="M71" i="90"/>
  <c r="Z70" i="90"/>
  <c r="O70" i="90"/>
  <c r="N70" i="90" s="1"/>
  <c r="M70" i="90"/>
  <c r="N69" i="90"/>
  <c r="M69" i="90"/>
  <c r="N68" i="90"/>
  <c r="N85" i="90" s="1"/>
  <c r="M68" i="90"/>
  <c r="M63" i="90"/>
  <c r="M62" i="90"/>
  <c r="M61" i="90"/>
  <c r="M60" i="90"/>
  <c r="M59" i="90"/>
  <c r="M58" i="90"/>
  <c r="M57" i="90"/>
  <c r="M56" i="90"/>
  <c r="M55" i="90"/>
  <c r="M54" i="90"/>
  <c r="M53" i="90"/>
  <c r="M52" i="90"/>
  <c r="M51" i="90"/>
  <c r="M50" i="90"/>
  <c r="M49" i="90"/>
  <c r="M48" i="90"/>
  <c r="M47" i="90"/>
  <c r="M46" i="90"/>
  <c r="M45" i="90"/>
  <c r="M44" i="90"/>
  <c r="M43" i="90"/>
  <c r="M42" i="90"/>
  <c r="M41" i="90"/>
  <c r="M40" i="90"/>
  <c r="M39" i="90"/>
  <c r="M38" i="90"/>
  <c r="M37" i="90"/>
  <c r="M36" i="90"/>
  <c r="M35" i="90"/>
  <c r="M34" i="90"/>
  <c r="M33" i="90"/>
  <c r="M32" i="90"/>
  <c r="M31" i="90"/>
  <c r="M30" i="90"/>
  <c r="M29" i="90"/>
  <c r="M28" i="90"/>
  <c r="M27" i="90"/>
  <c r="M26" i="90"/>
  <c r="M25" i="90"/>
  <c r="M24" i="90"/>
  <c r="M23" i="90"/>
  <c r="M22" i="90"/>
  <c r="M21" i="90"/>
  <c r="M20" i="90"/>
  <c r="M19" i="90"/>
  <c r="M18" i="90"/>
  <c r="M17" i="90"/>
  <c r="M16" i="90"/>
  <c r="M15" i="90"/>
  <c r="M14" i="90"/>
  <c r="M13" i="90"/>
  <c r="M12" i="90"/>
  <c r="M11" i="90"/>
  <c r="M10" i="90"/>
  <c r="M9" i="90"/>
  <c r="M8" i="90"/>
  <c r="N7" i="90"/>
  <c r="M7" i="90"/>
  <c r="N6" i="90"/>
  <c r="M6" i="90"/>
  <c r="N5" i="90"/>
  <c r="M5" i="90"/>
  <c r="N4" i="90"/>
  <c r="M4" i="90"/>
  <c r="V12" i="88"/>
  <c r="U12" i="88"/>
  <c r="W12" i="88" s="1"/>
  <c r="S12" i="88"/>
  <c r="R12" i="88"/>
  <c r="C12" i="88"/>
  <c r="B12" i="88"/>
  <c r="S11" i="88"/>
  <c r="R11" i="88"/>
  <c r="C11" i="88"/>
  <c r="B11" i="88"/>
  <c r="V11" i="88" s="1"/>
  <c r="V10" i="88"/>
  <c r="U10" i="88"/>
  <c r="S10" i="88"/>
  <c r="R10" i="88"/>
  <c r="C10" i="88"/>
  <c r="B10" i="88"/>
  <c r="V9" i="88"/>
  <c r="U9" i="88"/>
  <c r="W9" i="88" s="1"/>
  <c r="S9" i="88"/>
  <c r="R9" i="88"/>
  <c r="C9" i="88"/>
  <c r="B9" i="88"/>
  <c r="S8" i="88"/>
  <c r="R8" i="88"/>
  <c r="C8" i="88"/>
  <c r="B8" i="88"/>
  <c r="V8" i="88" s="1"/>
  <c r="V7" i="88"/>
  <c r="U7" i="88"/>
  <c r="W7" i="88" s="1"/>
  <c r="S7" i="88"/>
  <c r="R7" i="88"/>
  <c r="C7" i="88"/>
  <c r="B7" i="88"/>
  <c r="V6" i="88"/>
  <c r="U6" i="88"/>
  <c r="S6" i="88"/>
  <c r="R6" i="88"/>
  <c r="C6" i="88"/>
  <c r="B6" i="88"/>
  <c r="S5" i="88"/>
  <c r="R5" i="88"/>
  <c r="C5" i="88"/>
  <c r="B5" i="88"/>
  <c r="V5" i="88" s="1"/>
  <c r="W10" i="88" l="1"/>
  <c r="W6" i="88"/>
  <c r="V230" i="90"/>
  <c r="V231" i="90"/>
  <c r="V232" i="90"/>
  <c r="V233" i="90"/>
  <c r="V234" i="90"/>
  <c r="V235" i="90"/>
  <c r="V236" i="90"/>
  <c r="V237" i="90"/>
  <c r="V238" i="90"/>
  <c r="V239" i="90"/>
  <c r="U5" i="88"/>
  <c r="W5" i="88" s="1"/>
  <c r="U8" i="88"/>
  <c r="W8" i="88" s="1"/>
  <c r="U11" i="88"/>
  <c r="W11" i="88" s="1"/>
  <c r="C14" i="61" l="1"/>
  <c r="AG50" i="86"/>
  <c r="AG49" i="86"/>
  <c r="A6" i="75"/>
  <c r="L6" i="75" s="1"/>
  <c r="A7" i="75"/>
  <c r="A8" i="75"/>
  <c r="A9" i="75"/>
  <c r="A10" i="75"/>
  <c r="A11" i="75"/>
  <c r="A12" i="75"/>
  <c r="A5" i="75"/>
  <c r="L5" i="75" s="1"/>
  <c r="A6" i="74"/>
  <c r="K6" i="74" s="1"/>
  <c r="L6" i="74" s="1"/>
  <c r="A7" i="74"/>
  <c r="K7" i="74" s="1"/>
  <c r="L7" i="74" s="1"/>
  <c r="A8" i="74"/>
  <c r="K8" i="74" s="1"/>
  <c r="L8" i="74" s="1"/>
  <c r="A9" i="74"/>
  <c r="K9" i="74" s="1"/>
  <c r="L9" i="74" s="1"/>
  <c r="A10" i="74"/>
  <c r="K10" i="74" s="1"/>
  <c r="L10" i="74" s="1"/>
  <c r="A11" i="74"/>
  <c r="K11" i="74" s="1"/>
  <c r="L11" i="74" s="1"/>
  <c r="A12" i="74"/>
  <c r="K12" i="74" s="1"/>
  <c r="L12" i="74" s="1"/>
  <c r="A5" i="74"/>
  <c r="K5" i="74" s="1"/>
  <c r="L5" i="74" s="1"/>
  <c r="A6" i="86"/>
  <c r="A5" i="86"/>
  <c r="A5" i="85"/>
  <c r="A8" i="84"/>
  <c r="A7" i="84"/>
  <c r="A6" i="84"/>
  <c r="A5" i="84"/>
  <c r="A6" i="83"/>
  <c r="A7" i="83"/>
  <c r="A8" i="83"/>
  <c r="A5" i="83"/>
  <c r="A6" i="63"/>
  <c r="A7" i="63"/>
  <c r="A8" i="63"/>
  <c r="A9" i="63"/>
  <c r="A10" i="63"/>
  <c r="A11" i="63"/>
  <c r="A12" i="63"/>
  <c r="A5" i="63"/>
  <c r="A6" i="17"/>
  <c r="A7" i="17"/>
  <c r="A8" i="17"/>
  <c r="A9" i="17"/>
  <c r="A10" i="17"/>
  <c r="A5" i="17"/>
  <c r="R6" i="82"/>
  <c r="R7" i="82"/>
  <c r="R8" i="82"/>
  <c r="R9" i="82"/>
  <c r="R10" i="82"/>
  <c r="R11" i="82"/>
  <c r="R12" i="82"/>
  <c r="R13" i="82"/>
  <c r="R14" i="82"/>
  <c r="R5" i="82"/>
  <c r="AA48" i="15"/>
  <c r="A6" i="15"/>
  <c r="AA45" i="15" s="1"/>
  <c r="A7" i="15"/>
  <c r="A8" i="15"/>
  <c r="AA47" i="15" s="1"/>
  <c r="A5" i="15"/>
  <c r="AA44" i="15" s="1"/>
  <c r="AC23" i="81"/>
  <c r="AE46" i="81"/>
  <c r="AD13" i="81"/>
  <c r="AD12" i="81"/>
  <c r="AD11" i="81"/>
  <c r="AD10" i="81"/>
  <c r="AE38" i="81" s="1"/>
  <c r="AD9" i="81"/>
  <c r="AE37" i="81" s="1"/>
  <c r="AD8" i="81"/>
  <c r="AC18" i="81"/>
  <c r="AC16" i="81"/>
  <c r="AC25" i="81"/>
  <c r="AC24" i="81"/>
  <c r="A6" i="82"/>
  <c r="AA112" i="82" s="1"/>
  <c r="A7" i="82"/>
  <c r="AA113" i="82" s="1"/>
  <c r="A8" i="82"/>
  <c r="AA114" i="82" s="1"/>
  <c r="A9" i="82"/>
  <c r="AA115" i="82" s="1"/>
  <c r="A10" i="82"/>
  <c r="AA116" i="82" s="1"/>
  <c r="A11" i="82"/>
  <c r="AA117" i="82" s="1"/>
  <c r="A12" i="82"/>
  <c r="AA118" i="82" s="1"/>
  <c r="A13" i="82"/>
  <c r="AA119" i="82" s="1"/>
  <c r="A14" i="82"/>
  <c r="AA120" i="82" s="1"/>
  <c r="A5" i="82"/>
  <c r="L36" i="82"/>
  <c r="K36" i="82"/>
  <c r="J36" i="82"/>
  <c r="I36" i="82"/>
  <c r="H36" i="82"/>
  <c r="G36" i="82"/>
  <c r="F36" i="82"/>
  <c r="E36" i="82"/>
  <c r="O6" i="75" l="1"/>
  <c r="M6" i="75"/>
  <c r="O5" i="75"/>
  <c r="M5" i="75"/>
  <c r="AA111" i="82"/>
  <c r="AE34" i="81"/>
  <c r="AE32" i="81"/>
  <c r="AE33" i="81" s="1"/>
  <c r="AE36" i="81" s="1"/>
  <c r="AD42" i="81" s="1"/>
  <c r="AC37" i="81"/>
  <c r="AD45" i="81"/>
  <c r="AC38" i="81"/>
  <c r="AF38" i="81"/>
  <c r="AF37" i="81"/>
  <c r="AD44" i="81" s="1"/>
  <c r="Q6" i="75" l="1"/>
  <c r="R6" i="75"/>
  <c r="S6" i="75" s="1"/>
  <c r="Q5" i="75"/>
  <c r="R5" i="75"/>
  <c r="S5" i="75" s="1"/>
  <c r="Z46" i="82" l="1"/>
  <c r="Y46" i="82"/>
  <c r="Y36" i="82"/>
  <c r="Z36" i="82"/>
  <c r="AI28" i="82"/>
  <c r="AI27" i="82"/>
  <c r="AI26" i="82"/>
  <c r="AI25" i="82"/>
  <c r="AH28" i="82"/>
  <c r="AH27" i="82"/>
  <c r="AH26" i="82"/>
  <c r="AH25" i="82"/>
  <c r="AG28" i="82"/>
  <c r="AG27" i="82"/>
  <c r="AG26" i="82"/>
  <c r="AG25" i="82"/>
  <c r="AF28" i="82"/>
  <c r="AF27" i="82"/>
  <c r="H41" i="82" l="1"/>
  <c r="G41" i="82"/>
  <c r="F41" i="82"/>
  <c r="E41" i="82"/>
  <c r="V82" i="82" s="1"/>
  <c r="H39" i="82"/>
  <c r="G39" i="82"/>
  <c r="Y79" i="82" s="1"/>
  <c r="V71" i="82"/>
  <c r="Y71" i="82"/>
  <c r="V81" i="82"/>
  <c r="Y81" i="82"/>
  <c r="V80" i="82"/>
  <c r="Y80" i="82"/>
  <c r="H40" i="82"/>
  <c r="E40" i="82"/>
  <c r="G40" i="82"/>
  <c r="F40" i="82"/>
  <c r="AE81" i="82"/>
  <c r="AB81" i="82"/>
  <c r="AB72" i="82"/>
  <c r="AE72" i="82"/>
  <c r="I40" i="82"/>
  <c r="AB73" i="82" s="1"/>
  <c r="J40" i="82"/>
  <c r="AE71" i="82"/>
  <c r="AB71" i="82"/>
  <c r="AE80" i="82"/>
  <c r="AB80" i="82"/>
  <c r="K38" i="82"/>
  <c r="AE70" i="82" s="1"/>
  <c r="I38" i="82"/>
  <c r="K40" i="82"/>
  <c r="AE73" i="82" s="1"/>
  <c r="J38" i="82"/>
  <c r="L38" i="82"/>
  <c r="L40" i="82"/>
  <c r="F39" i="82"/>
  <c r="E39" i="82"/>
  <c r="V79" i="82" s="1"/>
  <c r="L41" i="82"/>
  <c r="I39" i="82"/>
  <c r="K41" i="82"/>
  <c r="J41" i="82"/>
  <c r="K39" i="82"/>
  <c r="AE79" i="82" s="1"/>
  <c r="I41" i="82"/>
  <c r="L39" i="82"/>
  <c r="J39" i="82"/>
  <c r="Y82" i="82" l="1"/>
  <c r="AB82" i="82"/>
  <c r="Y83" i="82"/>
  <c r="AE82" i="82"/>
  <c r="AB70" i="82"/>
  <c r="AB79" i="82"/>
  <c r="V83" i="82"/>
  <c r="AE83" i="82" l="1"/>
  <c r="AB83" i="82"/>
  <c r="B10" i="82" l="1"/>
  <c r="B11" i="82"/>
  <c r="B9" i="82"/>
  <c r="R8" i="15"/>
  <c r="R7" i="15"/>
  <c r="O15" i="61"/>
  <c r="O13" i="61"/>
  <c r="O12" i="61"/>
  <c r="N8" i="61"/>
  <c r="M8" i="61" l="1"/>
  <c r="P10" i="61"/>
  <c r="P9" i="61"/>
  <c r="P8" i="61"/>
  <c r="N6" i="61"/>
  <c r="M6" i="61"/>
  <c r="B6" i="86"/>
  <c r="B5" i="86"/>
  <c r="B5" i="85"/>
  <c r="B8" i="84"/>
  <c r="B7" i="84"/>
  <c r="B6" i="84"/>
  <c r="B5" i="84"/>
  <c r="B8" i="83"/>
  <c r="B7" i="83"/>
  <c r="B6" i="83"/>
  <c r="B5" i="83"/>
  <c r="Q9" i="17"/>
  <c r="Q10" i="17"/>
  <c r="Q8" i="17"/>
  <c r="Q6" i="17"/>
  <c r="Q7" i="17"/>
  <c r="Q5" i="17"/>
  <c r="P6" i="17"/>
  <c r="P7" i="17"/>
  <c r="P8" i="17"/>
  <c r="P9" i="17"/>
  <c r="P10" i="17"/>
  <c r="P5" i="17"/>
  <c r="N5" i="85" l="1"/>
  <c r="P15" i="61"/>
  <c r="P17" i="61"/>
  <c r="B12" i="87"/>
  <c r="A12" i="87"/>
  <c r="B11" i="87"/>
  <c r="A11" i="87"/>
  <c r="B10" i="87"/>
  <c r="A10" i="87"/>
  <c r="B9" i="87"/>
  <c r="A9" i="87"/>
  <c r="B8" i="87"/>
  <c r="A8" i="87"/>
  <c r="B7" i="87"/>
  <c r="A7" i="87"/>
  <c r="B6" i="87"/>
  <c r="A6" i="87"/>
  <c r="B5" i="87"/>
  <c r="A5" i="87"/>
  <c r="G7" i="87" l="1"/>
  <c r="L7" i="87" s="1"/>
  <c r="G8" i="87"/>
  <c r="L8" i="87" s="1"/>
  <c r="H10" i="87"/>
  <c r="M10" i="87" s="1"/>
  <c r="N10" i="87" s="1"/>
  <c r="H6" i="87"/>
  <c r="M6" i="87" s="1"/>
  <c r="N6" i="87" s="1"/>
  <c r="H11" i="87"/>
  <c r="M11" i="87" s="1"/>
  <c r="N11" i="87" s="1"/>
  <c r="H12" i="87"/>
  <c r="M12" i="87" s="1"/>
  <c r="N12" i="87" s="1"/>
  <c r="H8" i="87"/>
  <c r="M8" i="87" s="1"/>
  <c r="N8" i="87" s="1"/>
  <c r="G9" i="87"/>
  <c r="L9" i="87" s="1"/>
  <c r="G10" i="87"/>
  <c r="L10" i="87" s="1"/>
  <c r="H9" i="87"/>
  <c r="M9" i="87" s="1"/>
  <c r="N9" i="87" s="1"/>
  <c r="N15" i="61"/>
  <c r="G5" i="87"/>
  <c r="L5" i="87" s="1"/>
  <c r="H5" i="87"/>
  <c r="M5" i="87" s="1"/>
  <c r="N5" i="87" s="1"/>
  <c r="H7" i="87"/>
  <c r="M7" i="87" s="1"/>
  <c r="N7" i="87" s="1"/>
  <c r="G11" i="87"/>
  <c r="L11" i="87" s="1"/>
  <c r="G6" i="87"/>
  <c r="L6" i="87" s="1"/>
  <c r="G12" i="87"/>
  <c r="L12" i="87" s="1"/>
  <c r="N17" i="61"/>
  <c r="M17" i="61" l="1"/>
  <c r="B84" i="10"/>
  <c r="Y6" i="86" l="1"/>
  <c r="AG35" i="86"/>
  <c r="AD35" i="86"/>
  <c r="AG34" i="86"/>
  <c r="AD34" i="86"/>
  <c r="AG33" i="86"/>
  <c r="AD33" i="86"/>
  <c r="AG32" i="86"/>
  <c r="AG43" i="86" s="1"/>
  <c r="AD32" i="86"/>
  <c r="AF22" i="86"/>
  <c r="AE22" i="86"/>
  <c r="AF21" i="86"/>
  <c r="AE21" i="86"/>
  <c r="AF20" i="86"/>
  <c r="AE20" i="86"/>
  <c r="AD29" i="86"/>
  <c r="AG30" i="86"/>
  <c r="AD30" i="86"/>
  <c r="AF30" i="86"/>
  <c r="AC30" i="86"/>
  <c r="AF19" i="86"/>
  <c r="AE19" i="86"/>
  <c r="AG27" i="86"/>
  <c r="AG28" i="86" s="1"/>
  <c r="AD27" i="86"/>
  <c r="AD28" i="86" s="1"/>
  <c r="AF43" i="86"/>
  <c r="AC34" i="86"/>
  <c r="AC43" i="86" s="1"/>
  <c r="V12" i="85"/>
  <c r="V11" i="85"/>
  <c r="V10" i="85"/>
  <c r="AF27" i="84"/>
  <c r="AD27" i="84"/>
  <c r="AA27" i="84"/>
  <c r="Y27" i="84"/>
  <c r="AG33" i="84"/>
  <c r="AE33" i="84"/>
  <c r="AB33" i="84"/>
  <c r="Z33" i="84"/>
  <c r="AG32" i="84"/>
  <c r="AE32" i="84"/>
  <c r="AB32" i="84"/>
  <c r="Z32" i="84"/>
  <c r="AG31" i="84"/>
  <c r="AE31" i="84"/>
  <c r="AB31" i="84"/>
  <c r="Z31" i="84"/>
  <c r="AG30" i="84"/>
  <c r="AE30" i="84"/>
  <c r="AB30" i="84"/>
  <c r="AG28" i="84"/>
  <c r="AE28" i="84"/>
  <c r="AC20" i="84"/>
  <c r="AD20" i="84"/>
  <c r="AE20" i="84"/>
  <c r="AF20" i="84"/>
  <c r="AG44" i="84" s="1"/>
  <c r="AB28" i="84"/>
  <c r="Z30" i="84"/>
  <c r="Z28" i="84"/>
  <c r="AF21" i="84"/>
  <c r="AE21" i="84"/>
  <c r="AD21" i="84"/>
  <c r="AC21" i="84"/>
  <c r="AF19" i="84"/>
  <c r="AE19" i="84"/>
  <c r="AD19" i="84"/>
  <c r="AC19" i="84"/>
  <c r="AF18" i="84"/>
  <c r="AE18" i="84"/>
  <c r="AD18" i="84"/>
  <c r="AC18" i="84"/>
  <c r="AF43" i="84"/>
  <c r="AD43" i="84"/>
  <c r="AA43" i="84"/>
  <c r="Y43" i="84"/>
  <c r="AF33" i="84"/>
  <c r="AD33" i="84"/>
  <c r="AA33" i="84"/>
  <c r="Y33" i="84"/>
  <c r="P11" i="61"/>
  <c r="AG20" i="83"/>
  <c r="AF20" i="83"/>
  <c r="AE20" i="83"/>
  <c r="AD20" i="83"/>
  <c r="AG19" i="83"/>
  <c r="AF19" i="83"/>
  <c r="AE19" i="83"/>
  <c r="AD19" i="83"/>
  <c r="AG18" i="83"/>
  <c r="AF18" i="83"/>
  <c r="AE18" i="83"/>
  <c r="AB39" i="83" s="1"/>
  <c r="AD18" i="83"/>
  <c r="AH31" i="83"/>
  <c r="AH30" i="83"/>
  <c r="AH29" i="83"/>
  <c r="AH28" i="83"/>
  <c r="AH41" i="83" s="1"/>
  <c r="AH27" i="83"/>
  <c r="AH26" i="83"/>
  <c r="AF31" i="83"/>
  <c r="AF30" i="83"/>
  <c r="AF29" i="83"/>
  <c r="AF28" i="83"/>
  <c r="AF41" i="83" s="1"/>
  <c r="AF27" i="83"/>
  <c r="AF26" i="83"/>
  <c r="AC31" i="83"/>
  <c r="AC30" i="83"/>
  <c r="AC29" i="83"/>
  <c r="AC28" i="83"/>
  <c r="AC41" i="83" s="1"/>
  <c r="AC27" i="83"/>
  <c r="AC26" i="83"/>
  <c r="AA31" i="83"/>
  <c r="AA30" i="83"/>
  <c r="AA29" i="83"/>
  <c r="AA28" i="83"/>
  <c r="AA41" i="83" s="1"/>
  <c r="AA27" i="83"/>
  <c r="AA26" i="83"/>
  <c r="AG41" i="83"/>
  <c r="AE41" i="83"/>
  <c r="AB41" i="83"/>
  <c r="Z41" i="83"/>
  <c r="AB32" i="83"/>
  <c r="Z32" i="83"/>
  <c r="AB43" i="84" l="1"/>
  <c r="AE43" i="84"/>
  <c r="AD41" i="84"/>
  <c r="AD29" i="84" s="1"/>
  <c r="AD42" i="84" s="1"/>
  <c r="AD45" i="84" s="1"/>
  <c r="AD46" i="84" s="1"/>
  <c r="AF41" i="84"/>
  <c r="AG43" i="84"/>
  <c r="AA41" i="84"/>
  <c r="AB29" i="84" s="1"/>
  <c r="AD43" i="86"/>
  <c r="AD31" i="86"/>
  <c r="AD44" i="86" s="1"/>
  <c r="AD45" i="86" s="1"/>
  <c r="AD46" i="86" s="1"/>
  <c r="AD49" i="86" s="1"/>
  <c r="AF42" i="86"/>
  <c r="P14" i="61"/>
  <c r="AH39" i="83"/>
  <c r="AA39" i="83"/>
  <c r="AF39" i="83"/>
  <c r="AB40" i="83"/>
  <c r="AB43" i="83" s="1"/>
  <c r="AF29" i="84"/>
  <c r="AF42" i="84" s="1"/>
  <c r="AF45" i="84" s="1"/>
  <c r="AF46" i="84" s="1"/>
  <c r="AG29" i="84"/>
  <c r="AG42" i="84" s="1"/>
  <c r="AG45" i="84" s="1"/>
  <c r="AG46" i="84" s="1"/>
  <c r="AG31" i="86"/>
  <c r="AG44" i="86" s="1"/>
  <c r="V20" i="85"/>
  <c r="V16" i="85"/>
  <c r="Y41" i="84"/>
  <c r="AB44" i="84"/>
  <c r="AE44" i="84"/>
  <c r="AE38" i="83"/>
  <c r="AB38" i="83"/>
  <c r="AE39" i="83"/>
  <c r="AE40" i="83" s="1"/>
  <c r="AE43" i="83" s="1"/>
  <c r="Z39" i="83"/>
  <c r="Z40" i="83" s="1"/>
  <c r="Z43" i="83" s="1"/>
  <c r="AC39" i="83"/>
  <c r="AC40" i="83" s="1"/>
  <c r="AC43" i="83" s="1"/>
  <c r="AG39" i="83"/>
  <c r="AG40" i="83" s="1"/>
  <c r="AG43" i="83" s="1"/>
  <c r="Z38" i="83"/>
  <c r="AG38" i="83"/>
  <c r="AC41" i="86"/>
  <c r="AC53" i="86" s="1"/>
  <c r="AF41" i="86"/>
  <c r="AC54" i="86" s="1"/>
  <c r="Y5" i="86"/>
  <c r="AD42" i="86"/>
  <c r="AG42" i="86"/>
  <c r="AC42" i="86"/>
  <c r="AF35" i="86"/>
  <c r="AC35" i="86"/>
  <c r="AC44" i="86"/>
  <c r="AF44" i="86"/>
  <c r="U16" i="85"/>
  <c r="U20" i="85" s="1"/>
  <c r="Z43" i="84"/>
  <c r="Y40" i="84"/>
  <c r="Y44" i="84"/>
  <c r="AA40" i="84"/>
  <c r="Z44" i="84"/>
  <c r="AA44" i="84"/>
  <c r="AF40" i="84"/>
  <c r="AD40" i="84"/>
  <c r="AD44" i="84"/>
  <c r="AF44" i="84"/>
  <c r="AA40" i="83"/>
  <c r="AA43" i="83" s="1"/>
  <c r="AH42" i="83"/>
  <c r="AF42" i="83"/>
  <c r="AC42" i="83"/>
  <c r="AA42" i="83"/>
  <c r="AH40" i="83"/>
  <c r="AH43" i="83" s="1"/>
  <c r="AF40" i="83"/>
  <c r="AF43" i="83" s="1"/>
  <c r="Z42" i="83"/>
  <c r="AB42" i="83"/>
  <c r="AB44" i="83" s="1"/>
  <c r="AA49" i="83" s="1"/>
  <c r="AG42" i="83"/>
  <c r="AE42" i="83"/>
  <c r="AE29" i="84" l="1"/>
  <c r="AE42" i="84" s="1"/>
  <c r="AE45" i="84" s="1"/>
  <c r="AE46" i="84" s="1"/>
  <c r="AE47" i="84" s="1"/>
  <c r="Z54" i="84" s="1"/>
  <c r="AD54" i="86"/>
  <c r="W20" i="85"/>
  <c r="M5" i="85" s="1"/>
  <c r="O5" i="85" s="1"/>
  <c r="P13" i="61" s="1"/>
  <c r="AA29" i="84"/>
  <c r="AA42" i="84" s="1"/>
  <c r="AA45" i="84" s="1"/>
  <c r="AA46" i="84" s="1"/>
  <c r="AA47" i="84" s="1"/>
  <c r="AF44" i="83"/>
  <c r="AB50" i="83" s="1"/>
  <c r="AB42" i="84"/>
  <c r="AB45" i="84" s="1"/>
  <c r="AB46" i="84" s="1"/>
  <c r="AB47" i="84" s="1"/>
  <c r="Z52" i="84" s="1"/>
  <c r="AC44" i="83"/>
  <c r="AB49" i="83" s="1"/>
  <c r="AC49" i="83" s="1"/>
  <c r="AG47" i="84"/>
  <c r="Z55" i="84" s="1"/>
  <c r="N13" i="61"/>
  <c r="AC45" i="86"/>
  <c r="AC46" i="86" s="1"/>
  <c r="AC49" i="86" s="1"/>
  <c r="AE49" i="86" s="1"/>
  <c r="Z44" i="83"/>
  <c r="AA48" i="83" s="1"/>
  <c r="Z29" i="84"/>
  <c r="Z42" i="84" s="1"/>
  <c r="Z45" i="84" s="1"/>
  <c r="Z46" i="84" s="1"/>
  <c r="Z47" i="84" s="1"/>
  <c r="Z51" i="84" s="1"/>
  <c r="Y29" i="84"/>
  <c r="Y42" i="84" s="1"/>
  <c r="Y45" i="84" s="1"/>
  <c r="Y46" i="84" s="1"/>
  <c r="Y47" i="84" s="1"/>
  <c r="Y51" i="84" s="1"/>
  <c r="AD53" i="86"/>
  <c r="AE53" i="86" s="1"/>
  <c r="AE54" i="86"/>
  <c r="AF45" i="86"/>
  <c r="AF46" i="86" s="1"/>
  <c r="AC50" i="86" s="1"/>
  <c r="AG45" i="86"/>
  <c r="AD47" i="84"/>
  <c r="AF47" i="84"/>
  <c r="AH44" i="83"/>
  <c r="AB51" i="83" s="1"/>
  <c r="AG44" i="83"/>
  <c r="AA51" i="83" s="1"/>
  <c r="AE44" i="83"/>
  <c r="AA50" i="83" s="1"/>
  <c r="AA44" i="83"/>
  <c r="AE49" i="83" l="1"/>
  <c r="V6" i="83" s="1"/>
  <c r="T6" i="83"/>
  <c r="AA51" i="84"/>
  <c r="AC51" i="84" s="1"/>
  <c r="V5" i="84" s="1"/>
  <c r="N11" i="61"/>
  <c r="AB48" i="83"/>
  <c r="AC48" i="83" s="1"/>
  <c r="O11" i="61"/>
  <c r="AC50" i="83"/>
  <c r="AC51" i="83"/>
  <c r="Y55" i="84"/>
  <c r="AA55" i="84" s="1"/>
  <c r="Y54" i="84"/>
  <c r="AA54" i="84" s="1"/>
  <c r="Y52" i="84"/>
  <c r="AG46" i="86"/>
  <c r="AD50" i="86" s="1"/>
  <c r="AE50" i="86" s="1"/>
  <c r="W5" i="86"/>
  <c r="N14" i="61"/>
  <c r="T5" i="83" l="1"/>
  <c r="AE48" i="83"/>
  <c r="V5" i="83" s="1"/>
  <c r="AA52" i="84"/>
  <c r="AC52" i="84" s="1"/>
  <c r="V6" i="84" s="1"/>
  <c r="AC54" i="84"/>
  <c r="V7" i="84" s="1"/>
  <c r="U7" i="84"/>
  <c r="U7" i="83"/>
  <c r="AE50" i="83"/>
  <c r="V7" i="83" s="1"/>
  <c r="AE51" i="83"/>
  <c r="V8" i="83" s="1"/>
  <c r="U8" i="83"/>
  <c r="T5" i="84"/>
  <c r="AC55" i="84"/>
  <c r="U8" i="84"/>
  <c r="N12" i="61"/>
  <c r="O14" i="61"/>
  <c r="X6" i="86"/>
  <c r="AL28" i="82"/>
  <c r="W102" i="82" s="1"/>
  <c r="AL26" i="82"/>
  <c r="AL25" i="82"/>
  <c r="W101" i="82"/>
  <c r="X101" i="82"/>
  <c r="V101" i="82"/>
  <c r="B14" i="82"/>
  <c r="T6" i="84" l="1"/>
  <c r="V8" i="84"/>
  <c r="P12" i="61"/>
  <c r="X103" i="82"/>
  <c r="X104" i="82" s="1"/>
  <c r="W103" i="82"/>
  <c r="W104" i="82" s="1"/>
  <c r="W105" i="82" s="1"/>
  <c r="V102" i="82"/>
  <c r="V103" i="82"/>
  <c r="V104" i="82" s="1"/>
  <c r="X102" i="82"/>
  <c r="AK28" i="82"/>
  <c r="AJ28" i="82"/>
  <c r="AE28" i="82"/>
  <c r="AA62" i="82" s="1"/>
  <c r="AD28" i="82"/>
  <c r="AC28" i="82"/>
  <c r="AK26" i="82"/>
  <c r="AJ26" i="82"/>
  <c r="AF26" i="82"/>
  <c r="AE26" i="82"/>
  <c r="AD26" i="82"/>
  <c r="AC26" i="82"/>
  <c r="AK25" i="82"/>
  <c r="AJ25" i="82"/>
  <c r="AD25" i="82"/>
  <c r="AC25" i="82"/>
  <c r="AF25" i="82"/>
  <c r="AE25" i="82"/>
  <c r="Y92" i="82"/>
  <c r="X92" i="82"/>
  <c r="W92" i="82"/>
  <c r="V92" i="82"/>
  <c r="AA61" i="82"/>
  <c r="Z61" i="82"/>
  <c r="L33" i="82"/>
  <c r="J33" i="82"/>
  <c r="H33" i="82"/>
  <c r="F33" i="82"/>
  <c r="H26" i="82"/>
  <c r="Y61" i="82" s="1"/>
  <c r="G26" i="82"/>
  <c r="X61" i="82" s="1"/>
  <c r="F26" i="82"/>
  <c r="W61" i="82" s="1"/>
  <c r="E26" i="82"/>
  <c r="V61" i="82" s="1"/>
  <c r="B13" i="82"/>
  <c r="B12" i="82"/>
  <c r="B8" i="82"/>
  <c r="B7" i="82"/>
  <c r="B6" i="82"/>
  <c r="B5" i="82"/>
  <c r="W5" i="81"/>
  <c r="X105" i="82" l="1"/>
  <c r="Y120" i="82" s="1"/>
  <c r="W81" i="82"/>
  <c r="W71" i="82"/>
  <c r="W80" i="82"/>
  <c r="AF81" i="82"/>
  <c r="AF71" i="82"/>
  <c r="AF80" i="82"/>
  <c r="AF72" i="82"/>
  <c r="AF73" i="82" s="1"/>
  <c r="G38" i="82"/>
  <c r="Y70" i="82" s="1"/>
  <c r="H38" i="82"/>
  <c r="F38" i="82"/>
  <c r="E38" i="82"/>
  <c r="V70" i="82" s="1"/>
  <c r="Y72" i="82"/>
  <c r="Y73" i="82" s="1"/>
  <c r="V72" i="82"/>
  <c r="V73" i="82" s="1"/>
  <c r="Z72" i="82"/>
  <c r="Z73" i="82" s="1"/>
  <c r="Z80" i="82"/>
  <c r="Z71" i="82"/>
  <c r="Z81" i="82"/>
  <c r="AC81" i="82"/>
  <c r="AC72" i="82"/>
  <c r="AC73" i="82" s="1"/>
  <c r="AC71" i="82"/>
  <c r="AD71" i="82" s="1"/>
  <c r="AC80" i="82"/>
  <c r="AE74" i="82"/>
  <c r="V105" i="82"/>
  <c r="V93" i="82"/>
  <c r="Y93" i="82"/>
  <c r="V94" i="82"/>
  <c r="V95" i="82" s="1"/>
  <c r="V63" i="82"/>
  <c r="V64" i="82" s="1"/>
  <c r="Y63" i="82"/>
  <c r="Y64" i="82" s="1"/>
  <c r="Z63" i="82"/>
  <c r="Z64" i="82" s="1"/>
  <c r="X62" i="82"/>
  <c r="Z62" i="82"/>
  <c r="V62" i="82"/>
  <c r="Y62" i="82"/>
  <c r="W62" i="82"/>
  <c r="Y94" i="82"/>
  <c r="Y95" i="82" s="1"/>
  <c r="W93" i="82"/>
  <c r="Y28" i="82"/>
  <c r="Z28" i="82"/>
  <c r="X63" i="82"/>
  <c r="X64" i="82" s="1"/>
  <c r="W94" i="82"/>
  <c r="W95" i="82" s="1"/>
  <c r="AA63" i="82"/>
  <c r="AA64" i="82" s="1"/>
  <c r="AA65" i="82" s="1"/>
  <c r="Y113" i="82" s="1"/>
  <c r="W63" i="82"/>
  <c r="W64" i="82" s="1"/>
  <c r="X93" i="82"/>
  <c r="X94" i="82"/>
  <c r="X95" i="82" s="1"/>
  <c r="W72" i="82"/>
  <c r="W73" i="82" s="1"/>
  <c r="G9" i="81"/>
  <c r="G8" i="81"/>
  <c r="AI19" i="81"/>
  <c r="AI18" i="81"/>
  <c r="B5" i="81"/>
  <c r="A5" i="81"/>
  <c r="AC8" i="81" l="1"/>
  <c r="AC19" i="81" s="1"/>
  <c r="AC34" i="81" s="1"/>
  <c r="V65" i="82"/>
  <c r="X111" i="82" s="1"/>
  <c r="V96" i="82"/>
  <c r="X118" i="82" s="1"/>
  <c r="AA81" i="82"/>
  <c r="Z82" i="82"/>
  <c r="AA82" i="82" s="1"/>
  <c r="X80" i="82"/>
  <c r="W74" i="82"/>
  <c r="AD80" i="82"/>
  <c r="AC82" i="82"/>
  <c r="AD82" i="82" s="1"/>
  <c r="AD81" i="82"/>
  <c r="AA80" i="82"/>
  <c r="AG80" i="82"/>
  <c r="AG81" i="82"/>
  <c r="AF82" i="82"/>
  <c r="AG82" i="82" s="1"/>
  <c r="X120" i="82"/>
  <c r="X81" i="82"/>
  <c r="W82" i="82"/>
  <c r="X82" i="82" s="1"/>
  <c r="AC74" i="82"/>
  <c r="AB74" i="82"/>
  <c r="Z65" i="82"/>
  <c r="Y65" i="82"/>
  <c r="Y112" i="82" s="1"/>
  <c r="AG72" i="82"/>
  <c r="Z74" i="82"/>
  <c r="Y96" i="82"/>
  <c r="Y119" i="82" s="1"/>
  <c r="AD72" i="82"/>
  <c r="AA72" i="82"/>
  <c r="X65" i="82"/>
  <c r="X112" i="82" s="1"/>
  <c r="W65" i="82"/>
  <c r="AD73" i="82"/>
  <c r="X71" i="82"/>
  <c r="W96" i="82"/>
  <c r="AA71" i="82"/>
  <c r="AG71" i="82"/>
  <c r="X96" i="82"/>
  <c r="X119" i="82" s="1"/>
  <c r="Z119" i="82" s="1"/>
  <c r="X72" i="82"/>
  <c r="V74" i="82"/>
  <c r="Y74" i="82"/>
  <c r="AA83" i="82" l="1"/>
  <c r="Y115" i="82" s="1"/>
  <c r="AC45" i="81"/>
  <c r="Z83" i="82"/>
  <c r="AC32" i="81"/>
  <c r="AC33" i="81" s="1"/>
  <c r="AC36" i="81" s="1"/>
  <c r="AC42" i="81" s="1"/>
  <c r="AG83" i="82"/>
  <c r="Y117" i="82" s="1"/>
  <c r="Z120" i="82"/>
  <c r="Q14" i="82" s="1"/>
  <c r="Z112" i="82"/>
  <c r="P6" i="82" s="1"/>
  <c r="AD38" i="81"/>
  <c r="AD37" i="81"/>
  <c r="X113" i="82"/>
  <c r="Y118" i="82"/>
  <c r="AC83" i="82"/>
  <c r="X83" i="82"/>
  <c r="X115" i="82" s="1"/>
  <c r="AD83" i="82"/>
  <c r="X117" i="82" s="1"/>
  <c r="Z117" i="82" s="1"/>
  <c r="W83" i="82"/>
  <c r="AF83" i="82"/>
  <c r="Y111" i="82"/>
  <c r="AG73" i="82"/>
  <c r="AF74" i="82"/>
  <c r="AD74" i="82"/>
  <c r="AA73" i="82"/>
  <c r="AA74" i="82" s="1"/>
  <c r="Y114" i="82" s="1"/>
  <c r="Q13" i="82"/>
  <c r="X73" i="82"/>
  <c r="X74" i="82" s="1"/>
  <c r="X114" i="82" s="1"/>
  <c r="Z114" i="82" s="1"/>
  <c r="AE45" i="81"/>
  <c r="AC44" i="81" l="1"/>
  <c r="Z111" i="82"/>
  <c r="N10" i="61" s="1"/>
  <c r="Z115" i="82"/>
  <c r="P9" i="82" s="1"/>
  <c r="Z113" i="82"/>
  <c r="O10" i="61" s="1"/>
  <c r="Z118" i="82"/>
  <c r="Q12" i="82" s="1"/>
  <c r="AE44" i="81"/>
  <c r="X116" i="82"/>
  <c r="Y116" i="82"/>
  <c r="AG74" i="82"/>
  <c r="Q11" i="82"/>
  <c r="P8" i="82"/>
  <c r="Q7" i="82" l="1"/>
  <c r="Z116" i="82"/>
  <c r="P5" i="82"/>
  <c r="V5" i="81"/>
  <c r="O9" i="61"/>
  <c r="AE42" i="81"/>
  <c r="Q10" i="82"/>
  <c r="R6" i="15"/>
  <c r="R5" i="15"/>
  <c r="AD26" i="15"/>
  <c r="AC26" i="15"/>
  <c r="AB26" i="15"/>
  <c r="Z36" i="15"/>
  <c r="Y36" i="15"/>
  <c r="X36" i="15"/>
  <c r="W36" i="15"/>
  <c r="AD20" i="15"/>
  <c r="AD19" i="15"/>
  <c r="Z22" i="15" s="1"/>
  <c r="Z26" i="15" s="1"/>
  <c r="AD18" i="15"/>
  <c r="AC20" i="15"/>
  <c r="AC19" i="15"/>
  <c r="Y22" i="15" s="1"/>
  <c r="Y26" i="15" s="1"/>
  <c r="AC18" i="15"/>
  <c r="AB20" i="15"/>
  <c r="AB19" i="15"/>
  <c r="AB18" i="15"/>
  <c r="AA20" i="15"/>
  <c r="AA19" i="15"/>
  <c r="W23" i="15" s="1"/>
  <c r="AA18" i="15"/>
  <c r="AG92" i="63"/>
  <c r="U9" i="63" s="1"/>
  <c r="AG93" i="63"/>
  <c r="U10" i="63" s="1"/>
  <c r="AG94" i="63"/>
  <c r="U11" i="63" s="1"/>
  <c r="AG95" i="63"/>
  <c r="U12" i="63" s="1"/>
  <c r="AG88" i="63"/>
  <c r="U6" i="63" s="1"/>
  <c r="AG89" i="63"/>
  <c r="U7" i="63" s="1"/>
  <c r="AG90" i="63"/>
  <c r="U8" i="63" s="1"/>
  <c r="AG87" i="63"/>
  <c r="U5" i="63" s="1"/>
  <c r="AF45" i="63"/>
  <c r="AF46" i="63"/>
  <c r="AF47" i="63"/>
  <c r="AF44" i="63"/>
  <c r="AF40" i="63"/>
  <c r="AF41" i="63"/>
  <c r="AF42" i="63"/>
  <c r="AF39" i="63"/>
  <c r="AB45" i="63"/>
  <c r="AB46" i="63"/>
  <c r="AB47" i="63"/>
  <c r="AB44" i="63"/>
  <c r="AB40" i="63"/>
  <c r="AB41" i="63"/>
  <c r="AB42" i="63"/>
  <c r="AB39" i="63"/>
  <c r="AD45" i="63"/>
  <c r="AD46" i="63"/>
  <c r="AD47" i="63"/>
  <c r="AD44" i="63"/>
  <c r="AD40" i="63"/>
  <c r="AD41" i="63"/>
  <c r="AD42" i="63"/>
  <c r="AD39" i="63"/>
  <c r="Z45" i="63"/>
  <c r="Z46" i="63"/>
  <c r="Z47" i="63"/>
  <c r="Z44" i="63"/>
  <c r="Z40" i="63"/>
  <c r="Z41" i="63"/>
  <c r="Z42" i="63"/>
  <c r="Z39" i="63"/>
  <c r="AB34" i="63"/>
  <c r="AB33" i="63"/>
  <c r="AA34" i="63"/>
  <c r="AA33" i="63"/>
  <c r="Z34" i="63"/>
  <c r="Z33" i="63"/>
  <c r="AG25" i="63"/>
  <c r="AG26" i="63"/>
  <c r="AG27" i="63"/>
  <c r="AG24" i="63"/>
  <c r="AD25" i="63"/>
  <c r="AD26" i="63"/>
  <c r="AD27" i="63"/>
  <c r="AD24" i="63"/>
  <c r="AD20" i="63"/>
  <c r="AD21" i="63"/>
  <c r="AD22" i="63"/>
  <c r="AD19" i="63"/>
  <c r="AC25" i="63"/>
  <c r="AC26" i="63"/>
  <c r="AC27" i="63"/>
  <c r="AC24" i="63"/>
  <c r="AC20" i="63"/>
  <c r="AC21" i="63"/>
  <c r="AC22" i="63"/>
  <c r="AC19" i="63"/>
  <c r="AF25" i="63"/>
  <c r="AF26" i="63"/>
  <c r="AF27" i="63"/>
  <c r="AF24" i="63"/>
  <c r="AF20" i="63"/>
  <c r="AF21" i="63"/>
  <c r="AF22" i="63"/>
  <c r="AF19" i="63"/>
  <c r="AF32" i="63"/>
  <c r="U25" i="17"/>
  <c r="U26" i="17"/>
  <c r="U27" i="17"/>
  <c r="U28" i="17"/>
  <c r="U29" i="17"/>
  <c r="U24" i="17"/>
  <c r="AF18" i="17"/>
  <c r="AE18" i="17"/>
  <c r="AD18" i="17"/>
  <c r="AC18" i="17"/>
  <c r="AB18" i="17"/>
  <c r="AA18" i="17"/>
  <c r="AF17" i="17"/>
  <c r="AE17" i="17"/>
  <c r="AD17" i="17"/>
  <c r="AC17" i="17"/>
  <c r="AB17" i="17"/>
  <c r="AA17" i="17"/>
  <c r="AF16" i="17"/>
  <c r="V29" i="17" s="1"/>
  <c r="AE16" i="17"/>
  <c r="V28" i="17" s="1"/>
  <c r="AD16" i="17"/>
  <c r="V27" i="17" s="1"/>
  <c r="AC16" i="17"/>
  <c r="V26" i="17" s="1"/>
  <c r="AB16" i="17"/>
  <c r="V25" i="17" s="1"/>
  <c r="AA16" i="17"/>
  <c r="V24" i="17" s="1"/>
  <c r="X47" i="15" l="1"/>
  <c r="X48" i="15"/>
  <c r="W48" i="15"/>
  <c r="Y48" i="15" s="1"/>
  <c r="X45" i="15"/>
  <c r="P6" i="61"/>
  <c r="P7" i="61"/>
  <c r="U5" i="81"/>
  <c r="N9" i="61"/>
  <c r="Z52" i="63"/>
  <c r="Z37" i="15"/>
  <c r="Y37" i="15"/>
  <c r="W47" i="15" s="1"/>
  <c r="Y47" i="15" s="1"/>
  <c r="P7" i="15" s="1"/>
  <c r="AI73" i="63"/>
  <c r="AH76" i="63"/>
  <c r="W24" i="15"/>
  <c r="W37" i="15"/>
  <c r="W44" i="15" s="1"/>
  <c r="W25" i="15"/>
  <c r="W22" i="15"/>
  <c r="W26" i="15" s="1"/>
  <c r="X22" i="15"/>
  <c r="X26" i="15" s="1"/>
  <c r="X37" i="15"/>
  <c r="W45" i="15" s="1"/>
  <c r="AI78" i="63"/>
  <c r="AH74" i="63"/>
  <c r="Z66" i="63"/>
  <c r="Z53" i="63"/>
  <c r="AA52" i="63"/>
  <c r="Z65" i="63"/>
  <c r="AA53" i="63"/>
  <c r="AA64" i="63"/>
  <c r="Z59" i="63"/>
  <c r="Z64" i="63"/>
  <c r="AI79" i="63"/>
  <c r="AI81" i="63"/>
  <c r="AA66" i="63"/>
  <c r="AA63" i="63"/>
  <c r="AH78" i="63"/>
  <c r="AH79" i="63"/>
  <c r="AA58" i="63"/>
  <c r="AA61" i="63"/>
  <c r="AA65" i="63"/>
  <c r="AI75" i="63"/>
  <c r="AA59" i="63"/>
  <c r="AI74" i="63"/>
  <c r="Z58" i="63"/>
  <c r="Z63" i="63"/>
  <c r="AH81" i="63"/>
  <c r="AI80" i="63"/>
  <c r="AH75" i="63"/>
  <c r="Z60" i="63"/>
  <c r="AI76" i="63"/>
  <c r="AA60" i="63"/>
  <c r="AH73" i="63"/>
  <c r="AH80" i="63"/>
  <c r="Z61" i="63"/>
  <c r="AB64" i="63" l="1"/>
  <c r="Z48" i="15"/>
  <c r="O8" i="15" s="1"/>
  <c r="P8" i="15"/>
  <c r="Z47" i="15"/>
  <c r="O7" i="15" s="1"/>
  <c r="AA26" i="15"/>
  <c r="X44" i="15" s="1"/>
  <c r="Y44" i="15" s="1"/>
  <c r="Y45" i="15"/>
  <c r="AF81" i="63"/>
  <c r="AC81" i="63"/>
  <c r="AB81" i="63"/>
  <c r="AG81" i="63"/>
  <c r="AC80" i="63"/>
  <c r="AB80" i="63"/>
  <c r="AF80" i="63"/>
  <c r="AG80" i="63"/>
  <c r="AG79" i="63"/>
  <c r="AF79" i="63"/>
  <c r="AB79" i="63"/>
  <c r="AC79" i="63"/>
  <c r="AF78" i="63"/>
  <c r="AB78" i="63"/>
  <c r="AG78" i="63"/>
  <c r="AC78" i="63"/>
  <c r="AC76" i="63"/>
  <c r="AC90" i="63" s="1"/>
  <c r="AB76" i="63"/>
  <c r="AB90" i="63" s="1"/>
  <c r="AC74" i="63"/>
  <c r="AC88" i="63" s="1"/>
  <c r="AB74" i="63"/>
  <c r="AB88" i="63" s="1"/>
  <c r="AB75" i="63"/>
  <c r="AB89" i="63" s="1"/>
  <c r="AC75" i="63"/>
  <c r="AC89" i="63" s="1"/>
  <c r="AB73" i="63"/>
  <c r="AB87" i="63" s="1"/>
  <c r="AC73" i="63"/>
  <c r="AC87" i="63" s="1"/>
  <c r="Z79" i="63"/>
  <c r="AD79" i="63"/>
  <c r="AE79" i="63"/>
  <c r="AA79" i="63"/>
  <c r="AA80" i="63"/>
  <c r="AE80" i="63"/>
  <c r="Z80" i="63"/>
  <c r="AD80" i="63"/>
  <c r="AE81" i="63"/>
  <c r="Z81" i="63"/>
  <c r="AA81" i="63"/>
  <c r="AD81" i="63"/>
  <c r="AA78" i="63"/>
  <c r="AE78" i="63"/>
  <c r="AD78" i="63"/>
  <c r="Z78" i="63"/>
  <c r="AA74" i="63"/>
  <c r="AA88" i="63" s="1"/>
  <c r="AF88" i="63" s="1"/>
  <c r="Z74" i="63"/>
  <c r="Z88" i="63" s="1"/>
  <c r="AD88" i="63" s="1"/>
  <c r="Z76" i="63"/>
  <c r="Z90" i="63" s="1"/>
  <c r="AA76" i="63"/>
  <c r="AA90" i="63" s="1"/>
  <c r="Z75" i="63"/>
  <c r="Z89" i="63" s="1"/>
  <c r="AD89" i="63" s="1"/>
  <c r="AA75" i="63"/>
  <c r="AA89" i="63" s="1"/>
  <c r="AF89" i="63" s="1"/>
  <c r="Z73" i="63"/>
  <c r="Z87" i="63" s="1"/>
  <c r="AD87" i="63" s="1"/>
  <c r="AA73" i="63"/>
  <c r="AA87" i="63" s="1"/>
  <c r="AF87" i="63" s="1"/>
  <c r="AB66" i="63"/>
  <c r="AB59" i="63"/>
  <c r="AB65" i="63"/>
  <c r="AB58" i="63"/>
  <c r="AB63" i="63"/>
  <c r="AB60" i="63"/>
  <c r="AB61" i="63"/>
  <c r="AF90" i="63" l="1"/>
  <c r="T8" i="63" s="1"/>
  <c r="AC95" i="63"/>
  <c r="AD90" i="63"/>
  <c r="AB93" i="63"/>
  <c r="Z45" i="15"/>
  <c r="O6" i="15" s="1"/>
  <c r="P6" i="15"/>
  <c r="Z95" i="63"/>
  <c r="AD95" i="63" s="1"/>
  <c r="AC93" i="63"/>
  <c r="Z93" i="63"/>
  <c r="AC94" i="63"/>
  <c r="AB95" i="63"/>
  <c r="AA95" i="63"/>
  <c r="AF95" i="63" s="1"/>
  <c r="AB92" i="63"/>
  <c r="AA94" i="63"/>
  <c r="AF94" i="63" s="1"/>
  <c r="T11" i="63" s="1"/>
  <c r="AC92" i="63"/>
  <c r="AA93" i="63"/>
  <c r="Z92" i="63"/>
  <c r="Z94" i="63"/>
  <c r="T6" i="63"/>
  <c r="T12" i="63"/>
  <c r="AA92" i="63"/>
  <c r="AB94" i="63"/>
  <c r="T7" i="63"/>
  <c r="AD92" i="63" l="1"/>
  <c r="AD93" i="63"/>
  <c r="AF92" i="63"/>
  <c r="T9" i="63" s="1"/>
  <c r="AD94" i="63"/>
  <c r="AF93" i="63"/>
  <c r="T10" i="63" s="1"/>
  <c r="AE95" i="63"/>
  <c r="R12" i="63" s="1"/>
  <c r="S12" i="63"/>
  <c r="T5" i="63"/>
  <c r="O7" i="61"/>
  <c r="AE92" i="63"/>
  <c r="R9" i="63" s="1"/>
  <c r="S9" i="63"/>
  <c r="AE93" i="63"/>
  <c r="R10" i="63" s="1"/>
  <c r="S10" i="63"/>
  <c r="AE89" i="63"/>
  <c r="R7" i="63" s="1"/>
  <c r="S7" i="63"/>
  <c r="S5" i="63"/>
  <c r="AE88" i="63"/>
  <c r="R6" i="63" s="1"/>
  <c r="S6" i="63"/>
  <c r="AE90" i="63"/>
  <c r="R8" i="63" s="1"/>
  <c r="S8" i="63"/>
  <c r="Z44" i="15"/>
  <c r="O5" i="15" s="1"/>
  <c r="P5" i="15"/>
  <c r="AE87" i="63"/>
  <c r="AA25" i="17"/>
  <c r="AA27" i="17"/>
  <c r="AA29" i="17"/>
  <c r="AE94" i="63" l="1"/>
  <c r="R11" i="63" s="1"/>
  <c r="S11" i="63"/>
  <c r="N7" i="61"/>
  <c r="R5" i="63"/>
  <c r="M7" i="61"/>
  <c r="Y28" i="17"/>
  <c r="Y42" i="17" s="1"/>
  <c r="X26" i="17"/>
  <c r="U43" i="17" s="1"/>
  <c r="W43" i="17" s="1"/>
  <c r="X24" i="17"/>
  <c r="U41" i="17" s="1"/>
  <c r="W41" i="17" s="1"/>
  <c r="Y26" i="17"/>
  <c r="V43" i="17" s="1"/>
  <c r="AA28" i="17"/>
  <c r="Y24" i="17"/>
  <c r="V41" i="17" s="1"/>
  <c r="Y25" i="17"/>
  <c r="V42" i="17" s="1"/>
  <c r="AA26" i="17"/>
  <c r="X29" i="17"/>
  <c r="X43" i="17" s="1"/>
  <c r="Z43" i="17" s="1"/>
  <c r="Z24" i="17"/>
  <c r="Z26" i="17"/>
  <c r="U36" i="17" s="1"/>
  <c r="Y27" i="17"/>
  <c r="Y41" i="17" s="1"/>
  <c r="Z27" i="17"/>
  <c r="Y29" i="17"/>
  <c r="Y43" i="17" s="1"/>
  <c r="AA24" i="17"/>
  <c r="X28" i="17"/>
  <c r="X42" i="17" s="1"/>
  <c r="Z28" i="17"/>
  <c r="Z29" i="17"/>
  <c r="X36" i="17" s="1"/>
  <c r="X27" i="17"/>
  <c r="X41" i="17" s="1"/>
  <c r="Z41" i="17" s="1"/>
  <c r="Z71" i="10"/>
  <c r="Z42" i="17" l="1"/>
  <c r="Y35" i="17"/>
  <c r="V36" i="17"/>
  <c r="W36" i="17" s="1"/>
  <c r="U34" i="17"/>
  <c r="V34" i="17"/>
  <c r="X35" i="17"/>
  <c r="V35" i="17"/>
  <c r="X34" i="17"/>
  <c r="Y36" i="17"/>
  <c r="Y34" i="17"/>
  <c r="X25" i="17"/>
  <c r="U42" i="17" s="1"/>
  <c r="W42" i="17" s="1"/>
  <c r="Z25" i="17"/>
  <c r="W34" i="17" l="1"/>
  <c r="O7" i="17"/>
  <c r="Z35" i="17"/>
  <c r="O9" i="17" s="1"/>
  <c r="Z34" i="17"/>
  <c r="O8" i="17" s="1"/>
  <c r="O5" i="17"/>
  <c r="Z36" i="17"/>
  <c r="AA36" i="17" s="1"/>
  <c r="U35" i="17"/>
  <c r="Z70" i="10"/>
  <c r="Z72" i="10"/>
  <c r="Z73" i="10"/>
  <c r="Z74" i="10"/>
  <c r="Z75" i="10"/>
  <c r="O10" i="17" l="1"/>
  <c r="AA34" i="17"/>
  <c r="W35" i="17"/>
  <c r="AA35" i="17" s="1"/>
  <c r="B6" i="75"/>
  <c r="N6" i="75" s="1"/>
  <c r="B7" i="75"/>
  <c r="N7" i="75" s="1"/>
  <c r="B8" i="75"/>
  <c r="N8" i="75" s="1"/>
  <c r="B9" i="75"/>
  <c r="N9" i="75" s="1"/>
  <c r="B10" i="75"/>
  <c r="N10" i="75" s="1"/>
  <c r="B11" i="75"/>
  <c r="N11" i="75" s="1"/>
  <c r="B12" i="75"/>
  <c r="N12" i="75" s="1"/>
  <c r="B5" i="75"/>
  <c r="N5" i="75" s="1"/>
  <c r="B6" i="74"/>
  <c r="B7" i="74"/>
  <c r="B8" i="74"/>
  <c r="B9" i="74"/>
  <c r="B10" i="74"/>
  <c r="B11" i="74"/>
  <c r="B12" i="74"/>
  <c r="B5" i="74"/>
  <c r="O12" i="75"/>
  <c r="O11" i="75"/>
  <c r="O10" i="75"/>
  <c r="O9" i="75"/>
  <c r="O8" i="75"/>
  <c r="O7" i="75"/>
  <c r="F138" i="10"/>
  <c r="O6" i="17" l="1"/>
  <c r="L10" i="75"/>
  <c r="M10" i="75"/>
  <c r="Q10" i="75" s="1"/>
  <c r="L11" i="75"/>
  <c r="M11" i="75"/>
  <c r="Q11" i="75" s="1"/>
  <c r="M12" i="75"/>
  <c r="Q12" i="75" s="1"/>
  <c r="L12" i="75"/>
  <c r="M7" i="75"/>
  <c r="Q7" i="75" s="1"/>
  <c r="L7" i="75"/>
  <c r="R7" i="75" s="1"/>
  <c r="S7" i="75" s="1"/>
  <c r="M8" i="75"/>
  <c r="Q8" i="75" s="1"/>
  <c r="L8" i="75"/>
  <c r="R8" i="75" s="1"/>
  <c r="S8" i="75" s="1"/>
  <c r="M9" i="75"/>
  <c r="Q9" i="75" s="1"/>
  <c r="L9" i="75"/>
  <c r="R9" i="75" s="1"/>
  <c r="S9" i="75" s="1"/>
  <c r="R11" i="75" l="1"/>
  <c r="S11" i="75" s="1"/>
  <c r="R10" i="75"/>
  <c r="S10" i="75" s="1"/>
  <c r="R12" i="75"/>
  <c r="S12" i="75" s="1"/>
  <c r="P16" i="61"/>
  <c r="F13" i="61" s="1"/>
  <c r="M16" i="61"/>
  <c r="N16" i="61" l="1"/>
  <c r="F14" i="61"/>
  <c r="P85" i="10" l="1"/>
  <c r="O85" i="10"/>
  <c r="B5" i="17" l="1"/>
  <c r="Q101" i="10" l="1"/>
  <c r="P101" i="10"/>
  <c r="Q96" i="10" l="1"/>
  <c r="P96" i="10"/>
  <c r="O70" i="10"/>
  <c r="M69" i="10" l="1"/>
  <c r="M70" i="10"/>
  <c r="M71" i="10"/>
  <c r="M72" i="10"/>
  <c r="M73" i="10"/>
  <c r="M74" i="10"/>
  <c r="M75" i="10"/>
  <c r="M76" i="10"/>
  <c r="M77" i="10"/>
  <c r="M78" i="10"/>
  <c r="M79" i="10"/>
  <c r="M80" i="10"/>
  <c r="M81" i="10"/>
  <c r="M82" i="10"/>
  <c r="M83" i="10"/>
  <c r="M68" i="10"/>
  <c r="B12" i="63"/>
  <c r="B11" i="63"/>
  <c r="B10" i="63"/>
  <c r="B9" i="63"/>
  <c r="B8" i="63"/>
  <c r="B7" i="63"/>
  <c r="B6" i="63"/>
  <c r="B5" i="63"/>
  <c r="N69" i="10"/>
  <c r="N71" i="10"/>
  <c r="L229" i="10" l="1"/>
  <c r="M229" i="10"/>
  <c r="N229" i="10"/>
  <c r="O229" i="10"/>
  <c r="P229" i="10"/>
  <c r="Q229" i="10"/>
  <c r="R229" i="10"/>
  <c r="S229" i="10"/>
  <c r="T229" i="10"/>
  <c r="U229" i="10"/>
  <c r="M150" i="10"/>
  <c r="M149" i="10"/>
  <c r="M148" i="10"/>
  <c r="M147" i="10"/>
  <c r="M146" i="10"/>
  <c r="M145" i="10"/>
  <c r="M144" i="10"/>
  <c r="M143" i="10"/>
  <c r="M142" i="10"/>
  <c r="M141" i="10"/>
  <c r="M140" i="10"/>
  <c r="M139" i="10"/>
  <c r="M138" i="10"/>
  <c r="M137" i="10"/>
  <c r="M136" i="10"/>
  <c r="M135" i="10"/>
  <c r="M132" i="10"/>
  <c r="M131" i="10"/>
  <c r="M130" i="10"/>
  <c r="M129" i="10"/>
  <c r="M128" i="10"/>
  <c r="M127" i="10"/>
  <c r="M126" i="10"/>
  <c r="M125" i="10"/>
  <c r="M124" i="10"/>
  <c r="M123" i="10"/>
  <c r="M122" i="10"/>
  <c r="M121" i="10"/>
  <c r="M120" i="10"/>
  <c r="M119" i="10"/>
  <c r="M118" i="10"/>
  <c r="M117" i="10"/>
  <c r="V230" i="10" l="1"/>
  <c r="V236" i="10"/>
  <c r="V240" i="10"/>
  <c r="V231" i="10"/>
  <c r="V239" i="10"/>
  <c r="V238" i="10"/>
  <c r="V237" i="10"/>
  <c r="V233" i="10"/>
  <c r="V235" i="10"/>
  <c r="V234" i="10"/>
  <c r="V232" i="10"/>
  <c r="O23" i="61" l="1"/>
  <c r="H9" i="61" s="1"/>
  <c r="G9" i="61" s="1"/>
  <c r="B8" i="15" l="1"/>
  <c r="B7" i="15"/>
  <c r="B6" i="15"/>
  <c r="B5" i="15"/>
  <c r="B6" i="17" l="1"/>
  <c r="B7" i="17"/>
  <c r="B8" i="17"/>
  <c r="B9" i="17"/>
  <c r="B10" i="17"/>
  <c r="N70" i="10" l="1"/>
  <c r="M85" i="10"/>
  <c r="M91" i="10" l="1"/>
  <c r="M92" i="10"/>
  <c r="M93" i="10"/>
  <c r="M94" i="10"/>
  <c r="M95" i="10"/>
  <c r="M96" i="10"/>
  <c r="M97" i="10"/>
  <c r="M98" i="10"/>
  <c r="M99" i="10"/>
  <c r="M100" i="10"/>
  <c r="M101" i="10"/>
  <c r="M102" i="10"/>
  <c r="M103" i="10"/>
  <c r="M104" i="10"/>
  <c r="M105" i="10"/>
  <c r="M106" i="10"/>
  <c r="M107" i="10"/>
  <c r="M108" i="10"/>
  <c r="M109" i="10"/>
  <c r="M110" i="10"/>
  <c r="M111" i="10"/>
  <c r="M112" i="10"/>
  <c r="M113" i="10"/>
  <c r="M90" i="10"/>
  <c r="M4" i="10"/>
  <c r="N4" i="10"/>
  <c r="M5" i="10"/>
  <c r="N5" i="10"/>
  <c r="M6" i="10"/>
  <c r="N6" i="10"/>
  <c r="M7" i="10"/>
  <c r="N7" i="10"/>
  <c r="M8" i="10"/>
  <c r="M9" i="10"/>
  <c r="M10" i="10"/>
  <c r="M11" i="10"/>
  <c r="M12" i="10"/>
  <c r="M13" i="10"/>
  <c r="M14" i="10"/>
  <c r="M15" i="10"/>
  <c r="M16" i="10"/>
  <c r="M17" i="10"/>
  <c r="M18" i="10"/>
  <c r="M19" i="10"/>
  <c r="M20" i="10"/>
  <c r="M21" i="10"/>
  <c r="M22" i="10"/>
  <c r="M23" i="10"/>
  <c r="M24" i="10"/>
  <c r="N68" i="10"/>
  <c r="N85" i="10" s="1"/>
  <c r="M23" i="61" l="1"/>
  <c r="E9" i="61" s="1"/>
  <c r="P23" i="61" l="1"/>
  <c r="N23" i="61"/>
  <c r="F9" i="61" s="1"/>
  <c r="I9" i="6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<sst xmlns="http://schemas.openxmlformats.org/spreadsheetml/2006/main" count="3914" uniqueCount="961">
  <si>
    <t>Prescriptive Appliance &amp; Food Service Grant Application Calculator - Project Summary</t>
  </si>
  <si>
    <t>Measure Name</t>
  </si>
  <si>
    <t>Savings</t>
  </si>
  <si>
    <t>Estimated Incentive ($)</t>
  </si>
  <si>
    <t>kW</t>
  </si>
  <si>
    <t>kWh</t>
  </si>
  <si>
    <t>therms</t>
  </si>
  <si>
    <t>Project Info (Required)</t>
  </si>
  <si>
    <t>Energy Savings Summary</t>
  </si>
  <si>
    <t>Commercial Ice Machines</t>
  </si>
  <si>
    <t>-</t>
  </si>
  <si>
    <t>Building Type (Select from list):*</t>
  </si>
  <si>
    <t>Estimated Peak Demand Savings (kW)</t>
  </si>
  <si>
    <t>Estimated Annual Energy Savings (kWh)</t>
  </si>
  <si>
    <t>Annual Fossil Fuel Savings (MMBtu)</t>
  </si>
  <si>
    <t>Annual Fossil Fuel Savings (therms)</t>
  </si>
  <si>
    <t>Annual GHG Savings (TonCO2)</t>
  </si>
  <si>
    <t>Commercial Dishwasher</t>
  </si>
  <si>
    <t>Zip Code</t>
  </si>
  <si>
    <t>Commercial Freezer</t>
  </si>
  <si>
    <t>Commercial Clothes Washer</t>
  </si>
  <si>
    <t>Project Costs</t>
  </si>
  <si>
    <t>Commercial Ovens</t>
  </si>
  <si>
    <t>Estimated Materials Cost</t>
  </si>
  <si>
    <t>Commercial Fryer</t>
  </si>
  <si>
    <t>Estimated Labor Costs</t>
  </si>
  <si>
    <t>Commercial Griddle</t>
  </si>
  <si>
    <t>Estimated Additional Costs</t>
  </si>
  <si>
    <t>Estimated Incentive:</t>
  </si>
  <si>
    <t>Hot Food Holding Cabinet</t>
  </si>
  <si>
    <t>Estimated Total Project Cost</t>
  </si>
  <si>
    <t>% towards Cost Cap</t>
  </si>
  <si>
    <t>Steamer Cooker</t>
  </si>
  <si>
    <t>Note: All cost values should match quote/estimate provided</t>
  </si>
  <si>
    <t>Night Cover for Refrigerated Cases</t>
  </si>
  <si>
    <t>Anti-Condensation Heater Controls - Low/Mid Temp</t>
  </si>
  <si>
    <t>Refrigeration Door Gasket Replacement</t>
  </si>
  <si>
    <t>Total</t>
  </si>
  <si>
    <t>QA Reviewer &amp; Date</t>
  </si>
  <si>
    <t>QC Reviewer &amp; Date</t>
  </si>
  <si>
    <t>***This calculator is used for estimating savings and incentives from the installation of prescriptive Appliance &amp; Food Service measures. The measure inputs used in this calculator by an applicant will be reviewed by the Program in order to determine the final incentive amount. The Program reserves the right to inspect any and all measures prior to any incentive payment.</t>
  </si>
  <si>
    <t>Input Instructions</t>
  </si>
  <si>
    <t>Use the color-coded reference cells. Only yellow cells need input.</t>
  </si>
  <si>
    <t xml:space="preserve">Requires Input </t>
  </si>
  <si>
    <t>Doesn't Need an Input</t>
  </si>
  <si>
    <t>Output Cell</t>
  </si>
  <si>
    <t>In order to begin using the calculator, the Applicant Information page must be filled out. Zip code (Row 8) and the building type (Row 35) are required to populate incentives.</t>
  </si>
  <si>
    <t>1 MBH = 1,000 Btu/h</t>
  </si>
  <si>
    <t>1 MMBtu = 1,000,000 Btu/h</t>
  </si>
  <si>
    <t>Resources</t>
  </si>
  <si>
    <t xml:space="preserve">AHRI Directory: </t>
  </si>
  <si>
    <t xml:space="preserve">https://www.ahridirectory.org/Search/SearchHome?ReturnUrl=%2f </t>
  </si>
  <si>
    <t>Energy Star Product Finder:</t>
  </si>
  <si>
    <t>https://www.energystar.gov/productfinder/</t>
  </si>
  <si>
    <t>Delaware 2021 TRM</t>
  </si>
  <si>
    <t>Version 1.0</t>
  </si>
  <si>
    <t>Terms Explained</t>
  </si>
  <si>
    <t>MEF: Modified Energy Factor</t>
  </si>
  <si>
    <t>WF: Water Factor</t>
  </si>
  <si>
    <t>Food Service Equipment</t>
  </si>
  <si>
    <t>Description</t>
  </si>
  <si>
    <t>Specification</t>
  </si>
  <si>
    <t>Incentive per Unit</t>
  </si>
  <si>
    <t>Units</t>
  </si>
  <si>
    <t>Commercial Ice Machine</t>
  </si>
  <si>
    <t>Ice Maker Head (IMH)</t>
  </si>
  <si>
    <t>Each</t>
  </si>
  <si>
    <t>Remote Condensing Unit (RCU)</t>
  </si>
  <si>
    <t>Self-Contained Unit (SCU)</t>
  </si>
  <si>
    <t>Commercial Dishwasher - Low Temperature</t>
  </si>
  <si>
    <t>Undercounter, EnergyStar Qualified</t>
  </si>
  <si>
    <t>Stationary Single Tank Door, EnergyStar Qualified</t>
  </si>
  <si>
    <t>Single Tank Conveyor, EnergyStar Qualified</t>
  </si>
  <si>
    <t>Multi Tank Conveyor, EnergyStar Qualified</t>
  </si>
  <si>
    <t>Commercial Dishwasher - High Temperature</t>
  </si>
  <si>
    <t>EnergyStar Qualified, Vertical Door, Must use hydrocarbon natural refrigerants (R-290 or R-600a)</t>
  </si>
  <si>
    <t>EnergyStar Qualified, MEF &gt;= 2.2, WF &lt;= 4.5</t>
  </si>
  <si>
    <t>Combination Oven: Electric</t>
  </si>
  <si>
    <t>Size less than 15 Pan Model, EnergyStar Qualified</t>
  </si>
  <si>
    <t>Size 15+ Pan Model, EnergyStar Qualified</t>
  </si>
  <si>
    <t>Combination Oven: Gas</t>
  </si>
  <si>
    <t>Convection Oven</t>
  </si>
  <si>
    <t>EnergyStar Qualified, Full-Size</t>
  </si>
  <si>
    <t>EnergyStar Qualified, Half-Size</t>
  </si>
  <si>
    <t>Conveyor Oven</t>
  </si>
  <si>
    <t>Gas Rack Oven, EnergyStar Qualified</t>
  </si>
  <si>
    <t>EnergyStar Qualified</t>
  </si>
  <si>
    <t>EnergyStar Qualified, Full Size</t>
  </si>
  <si>
    <t>Rack Oven: Gas</t>
  </si>
  <si>
    <t>Commercial, Double-Rack</t>
  </si>
  <si>
    <t>Commercial, Single-Rack</t>
  </si>
  <si>
    <t>Must meet ENERGY STAR cooking efficiency and idle energy rate requirements</t>
  </si>
  <si>
    <t>Lin-Ft</t>
  </si>
  <si>
    <t>Must be humidity-based (anti-sweat) controls using a humidity sensor for on/off or micro pulse control
Must be a retrofit to existing units</t>
  </si>
  <si>
    <t>Door</t>
  </si>
  <si>
    <t>Replacing an old and/or damaged gasket</t>
  </si>
  <si>
    <t>HVAC Lookups</t>
  </si>
  <si>
    <t>Heating Lookups</t>
  </si>
  <si>
    <t>Equipment</t>
  </si>
  <si>
    <t>Equipment Type</t>
  </si>
  <si>
    <t>Subtype</t>
  </si>
  <si>
    <t>Harvest Rate (lb/24hr)</t>
  </si>
  <si>
    <t>Federal Baseline Maximum Energy Consumption Rate (kWh/100lb ice)</t>
  </si>
  <si>
    <t>EnergyStar Maximum Energy Consumption Rate (kWh/100lb ice)</t>
  </si>
  <si>
    <t>EER Base</t>
  </si>
  <si>
    <t>IEER/SEER base</t>
  </si>
  <si>
    <t>Tier 1 Qualifying EER</t>
  </si>
  <si>
    <t>Tier 1 Qualifying IEER/SEER</t>
  </si>
  <si>
    <t>Baseline Source</t>
  </si>
  <si>
    <t>EFLH - Heat</t>
  </si>
  <si>
    <t>EFLH - Cool</t>
  </si>
  <si>
    <t>NYS TRM Mapping</t>
  </si>
  <si>
    <t>ReplacementType</t>
  </si>
  <si>
    <t>WaterCooledChiller</t>
  </si>
  <si>
    <t>Ice Machine</t>
  </si>
  <si>
    <t>Space and/or Building Type</t>
  </si>
  <si>
    <t>Dover, DE</t>
  </si>
  <si>
    <t>Wilmington, DE</t>
  </si>
  <si>
    <t>Building Type</t>
  </si>
  <si>
    <t>GPD</t>
  </si>
  <si>
    <t>Early Replacement</t>
  </si>
  <si>
    <t>Centrifugal</t>
  </si>
  <si>
    <t>Ice-Making Head</t>
  </si>
  <si>
    <t>Ice Machines</t>
  </si>
  <si>
    <t>Batch Type</t>
  </si>
  <si>
    <t>&lt;300</t>
  </si>
  <si>
    <t>Electric Resistance (or None)</t>
  </si>
  <si>
    <t>IECC 2018</t>
  </si>
  <si>
    <t>Assembly</t>
  </si>
  <si>
    <t>End of Life/New Construction</t>
  </si>
  <si>
    <t>Centrifugal with VFD</t>
  </si>
  <si>
    <t>Remote Condensing Unit</t>
  </si>
  <si>
    <t>≥300 to &lt;800</t>
  </si>
  <si>
    <t>Other</t>
  </si>
  <si>
    <t>Education - Community College</t>
  </si>
  <si>
    <t>Community College</t>
  </si>
  <si>
    <t>Screw/Scroll</t>
  </si>
  <si>
    <t>Self-Contained Unit</t>
  </si>
  <si>
    <t>≥800 to &lt;1,500</t>
  </si>
  <si>
    <t>Education - Primary School</t>
  </si>
  <si>
    <t>Elementary School</t>
  </si>
  <si>
    <t>Reciprocating</t>
  </si>
  <si>
    <t>≥1,500 to &lt;4,000</t>
  </si>
  <si>
    <t>Education - Relocatable Classroom</t>
  </si>
  <si>
    <t>EfficiencyUnits</t>
  </si>
  <si>
    <t>Screw/Scroll/Reciprocating with VFD</t>
  </si>
  <si>
    <t>Ice Machine Type</t>
  </si>
  <si>
    <t>≥5.4 to &lt;11.25 tons</t>
  </si>
  <si>
    <t>Education - Secondary School</t>
  </si>
  <si>
    <t>High School</t>
  </si>
  <si>
    <t>EER/SEER/IEER</t>
  </si>
  <si>
    <t>Education - University</t>
  </si>
  <si>
    <t>University</t>
  </si>
  <si>
    <t>kW/ton</t>
  </si>
  <si>
    <t>AirCooledChiller</t>
  </si>
  <si>
    <t>Continuous</t>
  </si>
  <si>
    <t>Grocery</t>
  </si>
  <si>
    <t>Health/Medical - Hospital</t>
  </si>
  <si>
    <t>Hospital</t>
  </si>
  <si>
    <t>CapacityUnits</t>
  </si>
  <si>
    <t>≥11.25 to &lt;20 tons</t>
  </si>
  <si>
    <t>Health/Medical - Nursing Home</t>
  </si>
  <si>
    <t>Dormitory</t>
  </si>
  <si>
    <t>tons</t>
  </si>
  <si>
    <t>Screw/Scroll/Reciprocating</t>
  </si>
  <si>
    <t>Lodging - Hotel</t>
  </si>
  <si>
    <t>Hotel</t>
  </si>
  <si>
    <t>Btu/h</t>
  </si>
  <si>
    <t>Manufacturing – Bio Tech/High Tech</t>
  </si>
  <si>
    <t>Light Industrial</t>
  </si>
  <si>
    <t>RoomAirConditioner</t>
  </si>
  <si>
    <t>Manufacturing – 1 Shift/Light Industrial</t>
  </si>
  <si>
    <t>AirCooledChillerTier</t>
  </si>
  <si>
    <t>Without Reverse Cycle With louvered sides</t>
  </si>
  <si>
    <t>≥310 to &lt;820</t>
  </si>
  <si>
    <t>Multi-Family (Common Areas)</t>
  </si>
  <si>
    <t>Multi-family Low Rise</t>
  </si>
  <si>
    <t>Path A</t>
  </si>
  <si>
    <t>Without Reverse Cycle Without louvered sides</t>
  </si>
  <si>
    <t>≥820 to &lt;4,000</t>
  </si>
  <si>
    <t>Office - Large</t>
  </si>
  <si>
    <t>Large Office</t>
  </si>
  <si>
    <t>Path B</t>
  </si>
  <si>
    <t>With Reverse Cycle With louvered sides</t>
  </si>
  <si>
    <t>≥20 to &lt;63.3 tons</t>
  </si>
  <si>
    <t>Office - Small</t>
  </si>
  <si>
    <t>Small Office</t>
  </si>
  <si>
    <t>With Reverse Cycle Without louvered sides</t>
  </si>
  <si>
    <t>Restaurant - Fast-Food</t>
  </si>
  <si>
    <t>Fast Food Restaurant</t>
  </si>
  <si>
    <t>WaterCooledChillerTier</t>
  </si>
  <si>
    <t>Casement Only</t>
  </si>
  <si>
    <t>≥63.3 tons</t>
  </si>
  <si>
    <t>Restaurant - Sit-Down</t>
  </si>
  <si>
    <t xml:space="preserve">Full Service Restaurant </t>
  </si>
  <si>
    <t>Casement Slider</t>
  </si>
  <si>
    <t>Retail - Multistory Large</t>
  </si>
  <si>
    <t>Large Retail</t>
  </si>
  <si>
    <t>Retail - Single-Story Large</t>
  </si>
  <si>
    <t>PackagedTerminalAirConditioner</t>
  </si>
  <si>
    <t>Retail - Small</t>
  </si>
  <si>
    <t>Small Retail</t>
  </si>
  <si>
    <t>Chiller Control Type</t>
  </si>
  <si>
    <t>Standard Size</t>
  </si>
  <si>
    <t>&lt;5.4 tons</t>
  </si>
  <si>
    <t>Storage - Conditioned</t>
  </si>
  <si>
    <t>Warehouse</t>
  </si>
  <si>
    <t>VFD</t>
  </si>
  <si>
    <t>Non-Standard Size</t>
  </si>
  <si>
    <t>Warehouse - Refrigerated</t>
  </si>
  <si>
    <t>Mid-Atlantic TRM V9 - Full Load Heating Hours by Location and Building Type, Full Load Cooling Hours by Location and Building Type</t>
  </si>
  <si>
    <t>UnitaryAirConditioner</t>
  </si>
  <si>
    <t xml:space="preserve">https://neep.org/sites/default/files/resources/Mid_Atlantic_TRM_V9_Final_clean_wUpdateSummary%20-%20CT%20FORMAT.pdf </t>
  </si>
  <si>
    <t>Economizer Control</t>
  </si>
  <si>
    <t>Split</t>
  </si>
  <si>
    <t>NYS TRM V8 - GPD</t>
  </si>
  <si>
    <t>None</t>
  </si>
  <si>
    <t>Packaged</t>
  </si>
  <si>
    <t xml:space="preserve">https://www3.dps.ny.gov/W/PSCWeb.nsf/96f0fec0b45a3c6485257688006a701a/72c23decff52920a85257f1100671bdd/$FILE/NYS%20TRM%20V8.pdf </t>
  </si>
  <si>
    <t>Dual Enthalpy Economizer</t>
  </si>
  <si>
    <t>UnitaryHeatPump</t>
  </si>
  <si>
    <t>Subcategory</t>
  </si>
  <si>
    <t>Efficiency</t>
  </si>
  <si>
    <t>Unit</t>
  </si>
  <si>
    <t>Average Outdoor Air Temperature</t>
  </si>
  <si>
    <t>&lt;300,000 Btuh/h</t>
  </si>
  <si>
    <t>Dover</t>
  </si>
  <si>
    <r>
      <rPr>
        <sz val="10"/>
        <color rgb="FF000000"/>
        <rFont val="Calibri"/>
        <family val="2"/>
      </rPr>
      <t>°</t>
    </r>
    <r>
      <rPr>
        <sz val="10"/>
        <color rgb="FF000000"/>
        <rFont val="Times New Roman"/>
        <family val="1"/>
      </rPr>
      <t>F</t>
    </r>
  </si>
  <si>
    <t>Air Conditioner Types</t>
  </si>
  <si>
    <t>Steam</t>
  </si>
  <si>
    <t>AFUE</t>
  </si>
  <si>
    <t>Wilmington</t>
  </si>
  <si>
    <t>Air Cooled</t>
  </si>
  <si>
    <t>Hot Water</t>
  </si>
  <si>
    <t xml:space="preserve">https://en.climate-data.org/ </t>
  </si>
  <si>
    <t>Water Cooled</t>
  </si>
  <si>
    <t>VRFHeatPump</t>
  </si>
  <si>
    <t>&gt;300,000 and &lt;2,500,000 Btu/h</t>
  </si>
  <si>
    <t>Evaporatively Cooled</t>
  </si>
  <si>
    <t>with Heat Recovery</t>
  </si>
  <si>
    <t>Et</t>
  </si>
  <si>
    <t>without Heat Recovery</t>
  </si>
  <si>
    <t>Steam - all, except natural draft</t>
  </si>
  <si>
    <t>Heat Pump Types</t>
  </si>
  <si>
    <t>Steam - natural draft</t>
  </si>
  <si>
    <t>Air Source</t>
  </si>
  <si>
    <t>HeatingType</t>
  </si>
  <si>
    <t>&gt;2,500,000 Btu/h</t>
  </si>
  <si>
    <t>Water Source</t>
  </si>
  <si>
    <t>Electric Resistance</t>
  </si>
  <si>
    <t>Ec</t>
  </si>
  <si>
    <t>Ground Source</t>
  </si>
  <si>
    <t>Air Source Types</t>
  </si>
  <si>
    <t>Mid-Atlantic TRM V9 - Gas Boiler - Time of Sale Baseline Efficiency</t>
  </si>
  <si>
    <t>Chillers</t>
  </si>
  <si>
    <t>Location</t>
  </si>
  <si>
    <t>HDD45</t>
  </si>
  <si>
    <t>HDD55</t>
  </si>
  <si>
    <t>Tdesign</t>
  </si>
  <si>
    <t>LRF</t>
  </si>
  <si>
    <t>Water Cooled, Positive Displacement</t>
  </si>
  <si>
    <t>PTAC/PTHP</t>
  </si>
  <si>
    <t>Water Cooled, Centrifugal</t>
  </si>
  <si>
    <t>Baltimore, MD</t>
  </si>
  <si>
    <t>Packaged Terminal Air Conditioner</t>
  </si>
  <si>
    <t>Washington, DC</t>
  </si>
  <si>
    <t>Packaged Terminal Heat Pump</t>
  </si>
  <si>
    <t>Mid-Atlantic TRM V9 - Infrared Heaters - HDD, Tdesign and LRF values for selected cities</t>
  </si>
  <si>
    <t>Connected to Network</t>
  </si>
  <si>
    <t>Facility Type</t>
  </si>
  <si>
    <t>Hours of Pre rinse per day</t>
  </si>
  <si>
    <t>No</t>
  </si>
  <si>
    <t>Full Service Restaurant</t>
  </si>
  <si>
    <t>Yes</t>
  </si>
  <si>
    <t>Limited Service Restaurant</t>
  </si>
  <si>
    <t>Measure Life</t>
  </si>
  <si>
    <t>Mid-Atlantic TRM V9 - Pre-Rinse Spray Valves</t>
  </si>
  <si>
    <t>Air Conditioners</t>
  </si>
  <si>
    <t>Gas Water Heater</t>
  </si>
  <si>
    <t>Air Source Heat Pumps</t>
  </si>
  <si>
    <t>Electric Water Heater</t>
  </si>
  <si>
    <t>DMSHP</t>
  </si>
  <si>
    <t>Control Type</t>
  </si>
  <si>
    <t>Savings Factor</t>
  </si>
  <si>
    <t>Boiler Reset</t>
  </si>
  <si>
    <t>Boiler Cut-Out</t>
  </si>
  <si>
    <t>Smart Thermostat</t>
  </si>
  <si>
    <t>Boiler Reset and Cut-Out</t>
  </si>
  <si>
    <t>Room Air Conditioner</t>
  </si>
  <si>
    <t>Mid-Atlantic TRM V9 - Boiler Reset and Cut-Out Controls</t>
  </si>
  <si>
    <t>GSHP</t>
  </si>
  <si>
    <t>WSHP</t>
  </si>
  <si>
    <t>Type</t>
  </si>
  <si>
    <t>Size Category</t>
  </si>
  <si>
    <t>Options</t>
  </si>
  <si>
    <t>Index Name</t>
  </si>
  <si>
    <t>IEER/SEER Base</t>
  </si>
  <si>
    <t>HSPF/COP Base</t>
  </si>
  <si>
    <t>Tier 1 Qualifying COP/HSPF</t>
  </si>
  <si>
    <t>Condensing Boiler</t>
  </si>
  <si>
    <t>Non-Condensing Boiler</t>
  </si>
  <si>
    <t>CF PJM</t>
  </si>
  <si>
    <t>CF Upeak/SSP</t>
  </si>
  <si>
    <t>Heat Pumps</t>
  </si>
  <si>
    <t>Air Conditioners &lt;135k Btu/h</t>
  </si>
  <si>
    <t>Steam System</t>
  </si>
  <si>
    <t>Average Steam Trap Inlet Pressure</t>
  </si>
  <si>
    <t>Dia (diameter of orifice, in.)</t>
  </si>
  <si>
    <t>HOURS</t>
  </si>
  <si>
    <t>Hfg (Interpolated from Heat of Vaporization Table)</t>
  </si>
  <si>
    <t>Air Conditioners &gt;135k Btu/h</t>
  </si>
  <si>
    <t>Medium Pressure (&gt;15 psig, &lt;30psig)</t>
  </si>
  <si>
    <t>Medium Pressure (≥30 psig, &lt;75 psig)</t>
  </si>
  <si>
    <t>High Pressure (≥75 psig, &lt;125 psig)</t>
  </si>
  <si>
    <t>Ductless Mini-Splits</t>
  </si>
  <si>
    <t>High Pressure (≥125 psig, &lt;175 psig)</t>
  </si>
  <si>
    <t>Room AC</t>
  </si>
  <si>
    <t>High Prssure (≥175 psig, &lt;250 psig)</t>
  </si>
  <si>
    <t>GSHP/WSHP</t>
  </si>
  <si>
    <r>
      <t>High Pressure (</t>
    </r>
    <r>
      <rPr>
        <sz val="10"/>
        <color rgb="FF000000"/>
        <rFont val="Calibri"/>
        <family val="2"/>
      </rPr>
      <t>≥</t>
    </r>
    <r>
      <rPr>
        <sz val="10"/>
        <color rgb="FF000000"/>
        <rFont val="Times New Roman"/>
        <family val="1"/>
      </rPr>
      <t xml:space="preserve">250 psig, </t>
    </r>
    <r>
      <rPr>
        <sz val="10"/>
        <color rgb="FF000000"/>
        <rFont val="Calibri"/>
        <family val="2"/>
      </rPr>
      <t>≤</t>
    </r>
    <r>
      <rPr>
        <sz val="10"/>
        <color rgb="FF000000"/>
        <rFont val="Times New Roman"/>
        <family val="1"/>
      </rPr>
      <t>300 psig)</t>
    </r>
  </si>
  <si>
    <t>High Pressure (&gt;300 psig)</t>
  </si>
  <si>
    <t>Custom</t>
  </si>
  <si>
    <t>Mid-Atlantic TRM V9</t>
  </si>
  <si>
    <t>Mid-Atlantic TRM V9 - Steam Boiler Traps - Repair/Replace</t>
  </si>
  <si>
    <t>Pressure (psig)</t>
  </si>
  <si>
    <t>Heat of Vaporization (Btu/lb)</t>
  </si>
  <si>
    <t>CO2 Conversions</t>
  </si>
  <si>
    <t>tco2/kWh</t>
  </si>
  <si>
    <t>tco2/therm</t>
  </si>
  <si>
    <t>tco2/mmbtu</t>
  </si>
  <si>
    <t>Mini-Split</t>
  </si>
  <si>
    <t>Heat Pump</t>
  </si>
  <si>
    <t>N/A</t>
  </si>
  <si>
    <t>IECC 2018 - Split ASHP baseline</t>
  </si>
  <si>
    <t>Compliance Path</t>
  </si>
  <si>
    <t>Full Load Base</t>
  </si>
  <si>
    <t>IPLV Base</t>
  </si>
  <si>
    <t>Tier 1 Qualifying Full Load</t>
  </si>
  <si>
    <t>Tier 1 Qualifying IPLV</t>
  </si>
  <si>
    <t>&lt;150 tons</t>
  </si>
  <si>
    <t>≥150 tons</t>
  </si>
  <si>
    <t>&lt;75 tons</t>
  </si>
  <si>
    <t>≥75 to &lt;150 tons</t>
  </si>
  <si>
    <t>≥150 to &lt;300 tons</t>
  </si>
  <si>
    <t>Yes &amp; No</t>
  </si>
  <si>
    <t>≥300 to &lt;600 tons</t>
  </si>
  <si>
    <t>(Select yes or no)</t>
  </si>
  <si>
    <t>≥600 tons</t>
  </si>
  <si>
    <t>Organization Type</t>
  </si>
  <si>
    <t>(Select one)</t>
  </si>
  <si>
    <t>Commercial</t>
  </si>
  <si>
    <t>Industrial</t>
  </si>
  <si>
    <t>Tax Exempt Non-Profit</t>
  </si>
  <si>
    <t>≥300 to &lt;400 tons</t>
  </si>
  <si>
    <t>Local Government</t>
  </si>
  <si>
    <t>≥400 to &lt;600 tons</t>
  </si>
  <si>
    <t>State Agency</t>
  </si>
  <si>
    <t>Individual/Sole Proprietor</t>
  </si>
  <si>
    <t>Building Heat</t>
  </si>
  <si>
    <t>Heating Fuel</t>
  </si>
  <si>
    <t>(Select One)</t>
  </si>
  <si>
    <t>electric</t>
  </si>
  <si>
    <t>Electric</t>
  </si>
  <si>
    <t>natural gas</t>
  </si>
  <si>
    <t>Natural Gas</t>
  </si>
  <si>
    <t>Clothes Washer Building</t>
  </si>
  <si>
    <t>Clothes Washer Types</t>
  </si>
  <si>
    <t>Oil</t>
  </si>
  <si>
    <t>Multifamily</t>
  </si>
  <si>
    <t>Front Loading</t>
  </si>
  <si>
    <t>Laundromat</t>
  </si>
  <si>
    <t>Top Loading</t>
  </si>
  <si>
    <t>Smart Thermostat - Heating</t>
  </si>
  <si>
    <t>Air Source Heat Pump</t>
  </si>
  <si>
    <t>&lt;65,000 Btu/h</t>
  </si>
  <si>
    <t>≥65,000 to &lt;135,000 Btu/h</t>
  </si>
  <si>
    <t>Has ECM</t>
  </si>
  <si>
    <t>≥135,000 to &lt;240,000 Btu/h</t>
  </si>
  <si>
    <t>Does not have ECM</t>
  </si>
  <si>
    <t>Steamer Type</t>
  </si>
  <si>
    <t>≥240,000 to ≤300,000 Btu/h</t>
  </si>
  <si>
    <t>Steam Generator</t>
  </si>
  <si>
    <t>Low Intensity</t>
  </si>
  <si>
    <t>Boiler Based</t>
  </si>
  <si>
    <t>High Intensity</t>
  </si>
  <si>
    <t>Boilerless</t>
  </si>
  <si>
    <r>
      <rPr>
        <sz val="10"/>
        <color rgb="FF000000"/>
        <rFont val="Calibri"/>
        <family val="2"/>
      </rPr>
      <t>°</t>
    </r>
    <r>
      <rPr>
        <sz val="10"/>
        <color rgb="FF000000"/>
        <rFont val="Times New Roman"/>
        <family val="1"/>
      </rPr>
      <t>F/hr</t>
    </r>
  </si>
  <si>
    <t>Tank Type</t>
  </si>
  <si>
    <t>Non-Electric</t>
  </si>
  <si>
    <t>Gas-Fired Hot Water Boiler</t>
  </si>
  <si>
    <t>Oil-Fired Hot Water Boiler</t>
  </si>
  <si>
    <t>Gas-Fired Steam Boiler, All Except Natural Draft</t>
  </si>
  <si>
    <t>Gas-Fired Steam Boiler, Natural Draft</t>
  </si>
  <si>
    <t>Oil-Fired Steam Boiler</t>
  </si>
  <si>
    <t>Smart Thermostat - Cooling</t>
  </si>
  <si>
    <t>Air Source Air Conditioner</t>
  </si>
  <si>
    <t>Pre-Rinse Sprayer Product Class</t>
  </si>
  <si>
    <t>Product Class 1 (≤ 5.0 ozf)</t>
  </si>
  <si>
    <t>Product Class 2 (&gt; 5.0 ozf and ≤ 8.0 ozf)</t>
  </si>
  <si>
    <t>Product Class 3  (&gt; 8.0 ozf)</t>
  </si>
  <si>
    <t>Water Cooled Air Conditioner</t>
  </si>
  <si>
    <t xml:space="preserve"> Energy Unit Conversion</t>
  </si>
  <si>
    <t>1 therm =</t>
  </si>
  <si>
    <t>Btu</t>
  </si>
  <si>
    <t>New Castle</t>
  </si>
  <si>
    <t>Kent</t>
  </si>
  <si>
    <t>1 kWh =</t>
  </si>
  <si>
    <t>AntiSweatHeater Control Type</t>
  </si>
  <si>
    <t>% On</t>
  </si>
  <si>
    <t>CF</t>
  </si>
  <si>
    <t>Cooler</t>
  </si>
  <si>
    <t>Freezer</t>
  </si>
  <si>
    <t>On/Off</t>
  </si>
  <si>
    <t>Micropulse</t>
  </si>
  <si>
    <t>Cooler Type</t>
  </si>
  <si>
    <t>WHFe</t>
  </si>
  <si>
    <t>Mid-Atlantic TRM has two locations for determining EFLH. If zip code is in New Castle County, Wilmington will be used. If zip code is in Kent or Sussex, Dover will be used.</t>
  </si>
  <si>
    <t>SPFe for Refrig Door Gasket</t>
  </si>
  <si>
    <t>SPFe (kWh/ft)</t>
  </si>
  <si>
    <t>kW/foot</t>
  </si>
  <si>
    <t>Low Temp Reach-In</t>
  </si>
  <si>
    <t>Med Temp Reach-In</t>
  </si>
  <si>
    <t>Low Temp Walk-In</t>
  </si>
  <si>
    <t>Med Temp Walk-In</t>
  </si>
  <si>
    <t>Sussex</t>
  </si>
  <si>
    <t>Retrofit</t>
  </si>
  <si>
    <t>Manually Operated - Photographs required</t>
  </si>
  <si>
    <t>Programmable Thermostat</t>
  </si>
  <si>
    <t>Unknown</t>
  </si>
  <si>
    <t>Savings Factors</t>
  </si>
  <si>
    <t>ElecCool Saving %</t>
  </si>
  <si>
    <t>ElecHeat Saving %</t>
  </si>
  <si>
    <t>FuelHeat Saving %</t>
  </si>
  <si>
    <t>Manually Operated</t>
  </si>
  <si>
    <t>New Construction</t>
  </si>
  <si>
    <t>HVAC Unit Type Controlled</t>
  </si>
  <si>
    <t>Heating Type</t>
  </si>
  <si>
    <t>Default Fan Duty Cycle</t>
  </si>
  <si>
    <t>Motor HP</t>
  </si>
  <si>
    <t>Incentive</t>
  </si>
  <si>
    <t>HVAC Pump VFD Savings Factors</t>
  </si>
  <si>
    <t>Flow Fraction (% of Design CFM)</t>
  </si>
  <si>
    <t>% of Time at Flow Fraction (%FF)</t>
  </si>
  <si>
    <t>Per unit</t>
  </si>
  <si>
    <t>System</t>
  </si>
  <si>
    <t>ESF</t>
  </si>
  <si>
    <t>DSF</t>
  </si>
  <si>
    <t>Min</t>
  </si>
  <si>
    <t>Max</t>
  </si>
  <si>
    <t>Chilled Water Pump</t>
  </si>
  <si>
    <t>Hot Water Pump</t>
  </si>
  <si>
    <t>Source: Mid-Atlantic TRM V9 - p.433</t>
  </si>
  <si>
    <t>VFD Application</t>
  </si>
  <si>
    <t>Fan</t>
  </si>
  <si>
    <t>Heating Hot Water Pump</t>
  </si>
  <si>
    <t>Part Load Ratios by Control and Fan Type and Flow Fractions (PLR)</t>
  </si>
  <si>
    <t>Source: Mid-Atlantic TRM V9 - p.428</t>
  </si>
  <si>
    <t>Flow Fraction</t>
  </si>
  <si>
    <r>
      <rPr>
        <b/>
        <sz val="11"/>
        <color theme="1"/>
        <rFont val="Calibri"/>
        <family val="2"/>
      </rPr>
      <t>Σ(</t>
    </r>
    <r>
      <rPr>
        <b/>
        <sz val="11"/>
        <color theme="1"/>
        <rFont val="Calibri"/>
        <family val="2"/>
        <scheme val="minor"/>
      </rPr>
      <t>%FF * PLR)</t>
    </r>
  </si>
  <si>
    <t>VFD Operating Hours by Application and Building Type (RHRSbase)</t>
  </si>
  <si>
    <t>&gt;100 to &lt;200</t>
  </si>
  <si>
    <t>Per HP</t>
  </si>
  <si>
    <t>No Control or Bypass Damper</t>
  </si>
  <si>
    <t>Fan Motor Hours</t>
  </si>
  <si>
    <t>Chilled Water Pumps</t>
  </si>
  <si>
    <t>Heating Pumps</t>
  </si>
  <si>
    <t>Discharge Dampers</t>
  </si>
  <si>
    <t>Auto Related</t>
  </si>
  <si>
    <t>Outlet Damper, BI &amp; Airfoil Fans</t>
  </si>
  <si>
    <t>Bakery</t>
  </si>
  <si>
    <t>Inlet Damper Box</t>
  </si>
  <si>
    <t>Banks, Financial Centers</t>
  </si>
  <si>
    <t>Inlet Guide Vane, BI &amp; Airfoil Fans</t>
  </si>
  <si>
    <t>Church</t>
  </si>
  <si>
    <t>Inlet Vane Dampers</t>
  </si>
  <si>
    <t>College - Cafeteria</t>
  </si>
  <si>
    <t>Outlet Damper, FC Fans</t>
  </si>
  <si>
    <t>College - Classes/Administrative</t>
  </si>
  <si>
    <t>Eddy Current Drives</t>
  </si>
  <si>
    <t>College - Dormitory</t>
  </si>
  <si>
    <t>Inlet Guide Vane, FC Fans</t>
  </si>
  <si>
    <t>Commercial Condos</t>
  </si>
  <si>
    <t>VFD with duct static pressure controls</t>
  </si>
  <si>
    <t>Convenience Stores</t>
  </si>
  <si>
    <t>VFD with Low/No Duct Static Pressure (&lt;1" w.g.)</t>
  </si>
  <si>
    <t>Convention Center</t>
  </si>
  <si>
    <t>Source: Mid-Atlantic TRM V9 - p.429</t>
  </si>
  <si>
    <t>Court House</t>
  </si>
  <si>
    <t>Dining: Bar Lounge/Leisure</t>
  </si>
  <si>
    <t>Calc Name</t>
  </si>
  <si>
    <t>Data Export Name</t>
  </si>
  <si>
    <t>Dining: Cafeteria/Fast Food</t>
  </si>
  <si>
    <t>Dining: Family</t>
  </si>
  <si>
    <t>Entertainment</t>
  </si>
  <si>
    <t>Exercise Center</t>
  </si>
  <si>
    <t>No Control</t>
  </si>
  <si>
    <t>Fast Food Restaurants</t>
  </si>
  <si>
    <t>Discharge Damper</t>
  </si>
  <si>
    <t>Fire Station (Unmanned)</t>
  </si>
  <si>
    <t>Outlet Damper or Airfoil Fans</t>
  </si>
  <si>
    <t>Food Stores</t>
  </si>
  <si>
    <t>Gymnasium</t>
  </si>
  <si>
    <t>Inlet Guide Vane</t>
  </si>
  <si>
    <t>Hospitals</t>
  </si>
  <si>
    <t>Hospitals/Health Care</t>
  </si>
  <si>
    <t>Outlet Damper or FC Fans</t>
  </si>
  <si>
    <t>Industrial - 1 Shift</t>
  </si>
  <si>
    <t>Eddy Current Dri</t>
  </si>
  <si>
    <t>Industrial - 2 Shift</t>
  </si>
  <si>
    <t>Inlet Guide Vane or FC Fans</t>
  </si>
  <si>
    <t>Industrial - 3 Shift</t>
  </si>
  <si>
    <t>Laundromats</t>
  </si>
  <si>
    <t>Library</t>
  </si>
  <si>
    <t>Light Manufacturers</t>
  </si>
  <si>
    <t>Lodging (Hotels/Motels)</t>
  </si>
  <si>
    <t>Mall Concourse</t>
  </si>
  <si>
    <t>Manufacturing Facility</t>
  </si>
  <si>
    <t>Medical Offices</t>
  </si>
  <si>
    <t>Motion Picture Theatre</t>
  </si>
  <si>
    <t>Museum</t>
  </si>
  <si>
    <t>Nursing Homes</t>
  </si>
  <si>
    <t>Office (General Office Types)</t>
  </si>
  <si>
    <t>Office/Retail</t>
  </si>
  <si>
    <t>Parking Garages &amp; Lots</t>
  </si>
  <si>
    <t>Penitentiary</t>
  </si>
  <si>
    <t>Performing Arts Theatre</t>
  </si>
  <si>
    <t>Policy / Fire Stations (24 Hr)</t>
  </si>
  <si>
    <t>Post Office</t>
  </si>
  <si>
    <t>Pump Stations</t>
  </si>
  <si>
    <t>Refrigerated Warehouse</t>
  </si>
  <si>
    <t>Religious Building</t>
  </si>
  <si>
    <t>Residential (Except Nursing Homes)</t>
  </si>
  <si>
    <t>Restaurants</t>
  </si>
  <si>
    <t>Retail</t>
  </si>
  <si>
    <t>School / University</t>
  </si>
  <si>
    <t>Schools (Jr./Sr. High)</t>
  </si>
  <si>
    <t>Schools (Preschool/Elementary)</t>
  </si>
  <si>
    <t>Schools (Technical/Vocational)</t>
  </si>
  <si>
    <t>Small Services</t>
  </si>
  <si>
    <t>Sports Arena</t>
  </si>
  <si>
    <t>Town Hall</t>
  </si>
  <si>
    <t>Transportation</t>
  </si>
  <si>
    <t>Warehouse (Not Refrigerated)</t>
  </si>
  <si>
    <t>Waste Water Treatment Plant</t>
  </si>
  <si>
    <t>Workshop</t>
  </si>
  <si>
    <t>Source: Mid-Atlantic TRM V9 - p.431</t>
  </si>
  <si>
    <t>Labeled Product: Product Brand Name</t>
  </si>
  <si>
    <t>Model Name</t>
  </si>
  <si>
    <t>Model Number</t>
  </si>
  <si>
    <t>Maximum Flow Rate (gallons per minute)</t>
  </si>
  <si>
    <t>Spray Force (ounces-force)</t>
  </si>
  <si>
    <t>Fisher</t>
  </si>
  <si>
    <t>T&amp;S Brass</t>
  </si>
  <si>
    <t>B-0107-C</t>
  </si>
  <si>
    <t>EB-0107-C</t>
  </si>
  <si>
    <t>Encore Series</t>
  </si>
  <si>
    <t>Retro-fit Spray valve and Grip</t>
  </si>
  <si>
    <t>KLP50-0220-65</t>
  </si>
  <si>
    <t>Pre-rinse Spray Valve Assembly</t>
  </si>
  <si>
    <t>KLP50-Y002-65</t>
  </si>
  <si>
    <t>B-0108-C</t>
  </si>
  <si>
    <t>Retro-fit Spray Valve and Grip</t>
  </si>
  <si>
    <t>KLP50-0220-74</t>
  </si>
  <si>
    <t>KLP50-Y002-74</t>
  </si>
  <si>
    <t>Chicago Faucet</t>
  </si>
  <si>
    <t>90-LABCP</t>
  </si>
  <si>
    <t>90-LMPABCP</t>
  </si>
  <si>
    <t>90-ANGABCP</t>
  </si>
  <si>
    <t>KLP50-0220105</t>
  </si>
  <si>
    <t>KLP50-Y002105</t>
  </si>
  <si>
    <t>B-0107-J</t>
  </si>
  <si>
    <t>EB-0107-J</t>
  </si>
  <si>
    <t>KLP50-Y002-12</t>
  </si>
  <si>
    <t>KLP50-0220-12</t>
  </si>
  <si>
    <t>Kason</t>
  </si>
  <si>
    <t>8" Wall Mount Pre-Rinse Unit, WaterSense</t>
  </si>
  <si>
    <t>0451KL8500WS</t>
  </si>
  <si>
    <t>Double Pantry Deck Mount Pre-Rinse Unit, WaterSense</t>
  </si>
  <si>
    <t>0452KL1500WS</t>
  </si>
  <si>
    <t>Sgl Pantry Deck Mount Pre-Rinse Unit, WaterSense</t>
  </si>
  <si>
    <t>0452KL2500WS</t>
  </si>
  <si>
    <t>4" Deck Mount Pre-Rinse Unit, WaterSense</t>
  </si>
  <si>
    <t>0452KL4500WS</t>
  </si>
  <si>
    <t>8" Deck Mount Pre-Rinse Unit, WaterSense</t>
  </si>
  <si>
    <t>0452KL8500WS</t>
  </si>
  <si>
    <t>2949R</t>
  </si>
  <si>
    <t>5SV-C</t>
  </si>
  <si>
    <t>equal to minimum federal standards - would not qualify</t>
  </si>
  <si>
    <t>exceeds federal standards - should be removed from list</t>
  </si>
  <si>
    <t>Line</t>
  </si>
  <si>
    <t>Installed Equipment</t>
  </si>
  <si>
    <t>Estimated Savings and Incentive</t>
  </si>
  <si>
    <t>Manufacturer</t>
  </si>
  <si>
    <t>Model</t>
  </si>
  <si>
    <t>Quantity</t>
  </si>
  <si>
    <t>Harvest rate* (pounds ice per day)</t>
  </si>
  <si>
    <t>Operating days per year</t>
  </si>
  <si>
    <t>Potable water use (gallon per 100 pounds ice)</t>
  </si>
  <si>
    <t>Duty Cycle (default 40%)</t>
  </si>
  <si>
    <t>ΔkW</t>
  </si>
  <si>
    <t>ΔkWh</t>
  </si>
  <si>
    <t>Estimated Rebate</t>
  </si>
  <si>
    <t>Ex</t>
  </si>
  <si>
    <t>Batch</t>
  </si>
  <si>
    <t>Ice Making Head</t>
  </si>
  <si>
    <t>Self Contained Unit</t>
  </si>
  <si>
    <t>DE TRM 2021 - Commercial Ice Machines - p.505</t>
  </si>
  <si>
    <t xml:space="preserve"> Inputs</t>
  </si>
  <si>
    <t>*Energy Consumption Rate and Harvest Rate can be found on the EnergyStar Equipment listing page</t>
  </si>
  <si>
    <t>DEFAULT</t>
  </si>
  <si>
    <t>USER ENTRY</t>
  </si>
  <si>
    <t>Remote Cond./ Split System</t>
  </si>
  <si>
    <t>Ice harvest rate</t>
  </si>
  <si>
    <t>pounds/day</t>
  </si>
  <si>
    <t>Potable water use</t>
  </si>
  <si>
    <t>gallons per 100 pounds ice</t>
  </si>
  <si>
    <t>Annual days of operation</t>
  </si>
  <si>
    <t>days</t>
  </si>
  <si>
    <r>
      <t xml:space="preserve"> Assumptions</t>
    </r>
    <r>
      <rPr>
        <i/>
        <sz val="11"/>
        <rFont val="Arial"/>
        <family val="2"/>
      </rPr>
      <t xml:space="preserve"> - users can edit the highlighted values to modify the assumptions</t>
    </r>
  </si>
  <si>
    <t>Duty cycle</t>
  </si>
  <si>
    <t>Ice harvest rate (pounds/day)</t>
  </si>
  <si>
    <t>Potable water use (gallon/ 100 pound ice)</t>
  </si>
  <si>
    <t>Annual production (pounds of ice)</t>
  </si>
  <si>
    <t>Energy consumption rate (kWh/100 pounds ice)</t>
  </si>
  <si>
    <t>Equipment lifetime</t>
  </si>
  <si>
    <t>Conventional</t>
  </si>
  <si>
    <t>ENERGY STAR</t>
  </si>
  <si>
    <t xml:space="preserve"> Annual energy consumption per ice machine</t>
  </si>
  <si>
    <t>Estimated Incentive</t>
  </si>
  <si>
    <t xml:space="preserve"> Annual water consumption per ice machine</t>
  </si>
  <si>
    <t>gallons</t>
  </si>
  <si>
    <t>Commercial Dishwasher - Low/High Temperature</t>
  </si>
  <si>
    <t>Racks washed per day</t>
  </si>
  <si>
    <t>Typical Wash Time (Minutes)</t>
  </si>
  <si>
    <t>Water Use per Rack (gallons)*</t>
  </si>
  <si>
    <t>Idle Power Draw (kW)*</t>
  </si>
  <si>
    <t>Building Hot Water Fuel Type</t>
  </si>
  <si>
    <t>Booster Water Heater Fuel Type</t>
  </si>
  <si>
    <t>Average Daily Operating Hours (Default 18)</t>
  </si>
  <si>
    <t>Low-Temperature</t>
  </si>
  <si>
    <t>Under Counter</t>
  </si>
  <si>
    <t>Stationary Single Tank Door</t>
  </si>
  <si>
    <t>Single Tank Conveyor</t>
  </si>
  <si>
    <t>Multi Tank Conveyor</t>
  </si>
  <si>
    <t>High-Temperature</t>
  </si>
  <si>
    <t>DE TRM 2021 - Commercial Dishwasher - p.510</t>
  </si>
  <si>
    <t>*Can be found on the EnergyStar Equipment listing page</t>
  </si>
  <si>
    <r>
      <t xml:space="preserve"> Inputs</t>
    </r>
    <r>
      <rPr>
        <i/>
        <sz val="11"/>
        <rFont val="Arial"/>
        <family val="2"/>
      </rPr>
      <t xml:space="preserve"> - to edit these values go to the INPUTS tab</t>
    </r>
  </si>
  <si>
    <t>Water Heater Efficiency</t>
  </si>
  <si>
    <r>
      <t>Inlet Water Temperature Increase (</t>
    </r>
    <r>
      <rPr>
        <b/>
        <vertAlign val="superscript"/>
        <sz val="9"/>
        <rFont val="Arial"/>
        <family val="2"/>
      </rPr>
      <t>o</t>
    </r>
    <r>
      <rPr>
        <b/>
        <sz val="9"/>
        <rFont val="Arial"/>
        <family val="2"/>
      </rPr>
      <t>F)</t>
    </r>
  </si>
  <si>
    <t>Building hot water fuel type</t>
  </si>
  <si>
    <t>Booster water heater fuel type</t>
  </si>
  <si>
    <t>Low Temperature</t>
  </si>
  <si>
    <t>Gas</t>
  </si>
  <si>
    <t>Building Water Heater</t>
  </si>
  <si>
    <t>Booster Water Heater</t>
  </si>
  <si>
    <t>High Temperature</t>
  </si>
  <si>
    <t>Specific Heat of Water</t>
  </si>
  <si>
    <r>
      <t>Btu/pound/</t>
    </r>
    <r>
      <rPr>
        <vertAlign val="superscript"/>
        <sz val="9"/>
        <rFont val="Arial"/>
        <family val="2"/>
      </rPr>
      <t>o</t>
    </r>
    <r>
      <rPr>
        <sz val="9"/>
        <rFont val="Arial"/>
        <family val="2"/>
      </rPr>
      <t>F</t>
    </r>
  </si>
  <si>
    <t>Density of Water</t>
  </si>
  <si>
    <t>pounds/gallon</t>
  </si>
  <si>
    <t>Average daily operation (hours)</t>
  </si>
  <si>
    <t>Typical Wash Time (minutes)</t>
  </si>
  <si>
    <t>Water Use per Rack (gallons)</t>
  </si>
  <si>
    <t>Idle Power Draw (kW)</t>
  </si>
  <si>
    <t>Equipment lifetime (years)</t>
  </si>
  <si>
    <t xml:space="preserve"> Calculations</t>
  </si>
  <si>
    <t>Water Heating Energy</t>
  </si>
  <si>
    <t>kWh/gallon</t>
  </si>
  <si>
    <t>therm/gallon</t>
  </si>
  <si>
    <t xml:space="preserve"> Annual Water Consumption (gallons)</t>
  </si>
  <si>
    <t>Annual Building Water Heater Energy Consumption</t>
  </si>
  <si>
    <t>Annual Booster Heater Energy Consumption</t>
  </si>
  <si>
    <t>Annual Idle Electricity Consumption (kWh)</t>
  </si>
  <si>
    <t>Electric (kWh)</t>
  </si>
  <si>
    <t>Gas (therm)</t>
  </si>
  <si>
    <t xml:space="preserve"> Annual energy consumption per dishwasher</t>
  </si>
  <si>
    <t>Electric (kW)</t>
  </si>
  <si>
    <t>Commercial Freezers</t>
  </si>
  <si>
    <t>Number of Doors</t>
  </si>
  <si>
    <t xml:space="preserve">Volume associated with door (cubic feet) </t>
  </si>
  <si>
    <t>Unit Energy Consumption (kWh/day)</t>
  </si>
  <si>
    <t>Annual Days of Operation</t>
  </si>
  <si>
    <t>Vertical</t>
  </si>
  <si>
    <t>Solid Door</t>
  </si>
  <si>
    <t>Transparent Door</t>
  </si>
  <si>
    <t>Horizontal</t>
  </si>
  <si>
    <t>DE TRM 2021 - Commercial Freezers - p.430</t>
  </si>
  <si>
    <t>Solid door</t>
  </si>
  <si>
    <t>Transparent door</t>
  </si>
  <si>
    <t>Volume</t>
  </si>
  <si>
    <t>cubic feet</t>
  </si>
  <si>
    <t xml:space="preserve">Number of Doors </t>
  </si>
  <si>
    <t>ENERGY STAR unit energy consumption</t>
  </si>
  <si>
    <t>kWh/day</t>
  </si>
  <si>
    <r>
      <t>0 &lt; V &lt;</t>
    </r>
    <r>
      <rPr>
        <sz val="10"/>
        <rFont val="Arial"/>
        <family val="2"/>
      </rPr>
      <t xml:space="preserve"> 15</t>
    </r>
  </si>
  <si>
    <r>
      <t xml:space="preserve">15 </t>
    </r>
    <r>
      <rPr>
        <sz val="10"/>
        <rFont val="Arial"/>
        <family val="2"/>
      </rPr>
      <t>≤</t>
    </r>
    <r>
      <rPr>
        <sz val="10"/>
        <rFont val="Univers"/>
        <family val="2"/>
      </rPr>
      <t xml:space="preserve"> V &lt; 30</t>
    </r>
  </si>
  <si>
    <t>30 ≤ V &lt; 50</t>
  </si>
  <si>
    <t>50 ≤ V</t>
  </si>
  <si>
    <t>Selected size</t>
  </si>
  <si>
    <t>Conventional unit energy consumption</t>
  </si>
  <si>
    <t>years</t>
  </si>
  <si>
    <t xml:space="preserve"> Annual energy consumption per refrigerator</t>
  </si>
  <si>
    <t xml:space="preserve">Horizontal </t>
  </si>
  <si>
    <t>Commercial Clothes Washers</t>
  </si>
  <si>
    <t>Average number of loads per week</t>
  </si>
  <si>
    <t>Annual Weeks of Use</t>
  </si>
  <si>
    <t>Type of dryer</t>
  </si>
  <si>
    <t>% of Loads dried in Dryer</t>
  </si>
  <si>
    <t>Capacity 
(cubic feet)</t>
  </si>
  <si>
    <t>ENERGY STAR electricity consumption (kWh/yr)</t>
  </si>
  <si>
    <t>Water factor 
(WF)</t>
  </si>
  <si>
    <t>Modified energy factor 
(MEF)</t>
  </si>
  <si>
    <t>Gas Water Heater Efficiency (%)</t>
  </si>
  <si>
    <t>DE TRM 2021 - Commercial Clothes Washers - p.467</t>
  </si>
  <si>
    <t>Default/reference loads per year</t>
  </si>
  <si>
    <t>Capacity</t>
  </si>
  <si>
    <t>Modified energy factor (MEF)</t>
  </si>
  <si>
    <t>Water factor (WF)</t>
  </si>
  <si>
    <r>
      <t xml:space="preserve"> Assumptions </t>
    </r>
    <r>
      <rPr>
        <i/>
        <sz val="11"/>
        <rFont val="Arial"/>
        <family val="2"/>
      </rPr>
      <t>- users can edit the highlighted values to modify the assumptions</t>
    </r>
  </si>
  <si>
    <t>ENERGY STAR model rated unit electricity consumption</t>
  </si>
  <si>
    <t>kWh/year</t>
  </si>
  <si>
    <t>Residential</t>
  </si>
  <si>
    <t>Default loads per year</t>
  </si>
  <si>
    <t>Conventional model</t>
  </si>
  <si>
    <t>Rated unit electricity consumption</t>
  </si>
  <si>
    <t>Reference loads per year</t>
  </si>
  <si>
    <t>Loads per week</t>
  </si>
  <si>
    <t>Percentage of washer loads dried in machine</t>
  </si>
  <si>
    <t>Gas water heater efficiency</t>
  </si>
  <si>
    <t>Annual weeks of use</t>
  </si>
  <si>
    <t>weeks</t>
  </si>
  <si>
    <t>Energy conversion (constant)</t>
  </si>
  <si>
    <t>therm/kWh</t>
  </si>
  <si>
    <t>Portion of rated unit electricity consumption</t>
  </si>
  <si>
    <t>Machine</t>
  </si>
  <si>
    <t>Water heating</t>
  </si>
  <si>
    <t>Loads per year</t>
  </si>
  <si>
    <t>Adjusted rated unit electricity consumption</t>
  </si>
  <si>
    <t>Total electricity (based on electric dryer)</t>
  </si>
  <si>
    <t>Electricity</t>
  </si>
  <si>
    <t>Machine energy</t>
  </si>
  <si>
    <t>Water heating energy</t>
  </si>
  <si>
    <t>Dryer energy</t>
  </si>
  <si>
    <t xml:space="preserve"> Annual energy &amp; water consumption per clothes washer system</t>
  </si>
  <si>
    <t>Electricity consumption</t>
  </si>
  <si>
    <t>Gas consumption</t>
  </si>
  <si>
    <t>Water consumption</t>
  </si>
  <si>
    <t>Size</t>
  </si>
  <si>
    <t>Number of pans</t>
  </si>
  <si>
    <t>Pounds of food cooked per day per unit</t>
  </si>
  <si>
    <t>Operating hours per day</t>
  </si>
  <si>
    <t>Convection</t>
  </si>
  <si>
    <t>Full Size</t>
  </si>
  <si>
    <t>Half Size</t>
  </si>
  <si>
    <t>Combination</t>
  </si>
  <si>
    <t>&lt; 15 Pans</t>
  </si>
  <si>
    <t>15+ pans</t>
  </si>
  <si>
    <t>Rack</t>
  </si>
  <si>
    <t>Single Rack</t>
  </si>
  <si>
    <t>Double Rack</t>
  </si>
  <si>
    <t>Conveyor</t>
  </si>
  <si>
    <t>DE TRM 2021 - Commercial Ovens - p.489 - 502</t>
  </si>
  <si>
    <r>
      <t xml:space="preserve"> Assumptions</t>
    </r>
    <r>
      <rPr>
        <i/>
        <sz val="11"/>
        <rFont val="Arial"/>
        <family val="2"/>
      </rPr>
      <t xml:space="preserve"> - users can edit the highlighted values to modify the assumptions</t>
    </r>
    <r>
      <rPr>
        <b/>
        <sz val="11"/>
        <rFont val="Arial"/>
        <family val="2"/>
      </rPr>
      <t xml:space="preserve"> if necessary</t>
    </r>
  </si>
  <si>
    <t>Existing</t>
  </si>
  <si>
    <t>Proposed</t>
  </si>
  <si>
    <t>Cooking energy efficiency</t>
  </si>
  <si>
    <t>Production capacity</t>
  </si>
  <si>
    <t>pounds/hour</t>
  </si>
  <si>
    <t>Number of Preheats per Day</t>
  </si>
  <si>
    <t>&lt; 15 pans</t>
  </si>
  <si>
    <t>15+ Pans</t>
  </si>
  <si>
    <t>Preheat Time</t>
  </si>
  <si>
    <t>minutes</t>
  </si>
  <si>
    <t>Average daily operation</t>
  </si>
  <si>
    <t>hours</t>
  </si>
  <si>
    <t>Preheat Energy</t>
  </si>
  <si>
    <t>Wh/BTU</t>
  </si>
  <si>
    <t>Idle energy rate</t>
  </si>
  <si>
    <t>W or Btu/hour</t>
  </si>
  <si>
    <t>Food cooked per day</t>
  </si>
  <si>
    <t>pounds</t>
  </si>
  <si>
    <t>Combination Oven</t>
  </si>
  <si>
    <t>Convec. Mode</t>
  </si>
  <si>
    <t>Steam Mode</t>
  </si>
  <si>
    <t>Electric Combination Oven Performance</t>
  </si>
  <si>
    <t>% of food cooked in mode</t>
  </si>
  <si>
    <t>Default Values if unknown</t>
  </si>
  <si>
    <t>Baseline Model</t>
  </si>
  <si>
    <t>Efficient Model</t>
  </si>
  <si>
    <t>Parameter</t>
  </si>
  <si>
    <t>No. of Pans</t>
  </si>
  <si>
    <t>Convection Mode</t>
  </si>
  <si>
    <t>Idle (kW)</t>
  </si>
  <si>
    <t>&lt;15</t>
  </si>
  <si>
    <t>&gt;= 15</t>
  </si>
  <si>
    <t>Preheat Energy (&lt;15pan)</t>
  </si>
  <si>
    <t>EFF</t>
  </si>
  <si>
    <t>All</t>
  </si>
  <si>
    <t>Preheat Energy (15pan+)</t>
  </si>
  <si>
    <t>PC</t>
  </si>
  <si>
    <t>Idle energy rate (&lt;15pan)</t>
  </si>
  <si>
    <t>Idle energy rate (15pan+)</t>
  </si>
  <si>
    <t>Gas Combination Oven Performance</t>
  </si>
  <si>
    <t>Rack Oven</t>
  </si>
  <si>
    <t>Baking Energy Efficiency</t>
  </si>
  <si>
    <t>Btu/hour</t>
  </si>
  <si>
    <t>ASTM energy to food</t>
  </si>
  <si>
    <t>Wh/pound</t>
  </si>
  <si>
    <t>Btu/pound</t>
  </si>
  <si>
    <t>Baseline*</t>
  </si>
  <si>
    <t>Minimum Efficient Requirements</t>
  </si>
  <si>
    <t>Daily preheat energy</t>
  </si>
  <si>
    <t>Wh or Btu</t>
  </si>
  <si>
    <t>Daily cooking energy</t>
  </si>
  <si>
    <t>Daily idle time</t>
  </si>
  <si>
    <t>Daily idle energy</t>
  </si>
  <si>
    <t>Total daily energy</t>
  </si>
  <si>
    <t>Less than 15 Pans</t>
  </si>
  <si>
    <t>*DE TRM 2021 for standard efficiency gas conveyor at 20% efficiency, preheat energy of 35 kBtuh, idle energy of 70 kBTUh, and capacity of 114 lbs/hr, and 15min preheat time</t>
  </si>
  <si>
    <t>Minimum efficient requirments will be used unless proposed values are entered</t>
  </si>
  <si>
    <t>15 Pans or More</t>
  </si>
  <si>
    <t>Baseline</t>
  </si>
  <si>
    <t>Minimum Efficient</t>
  </si>
  <si>
    <t xml:space="preserve"> Annual energy consumption per oven</t>
  </si>
  <si>
    <t>Electric &lt; 15 pans</t>
  </si>
  <si>
    <t>Electric 15+ pan</t>
  </si>
  <si>
    <t>Gas &lt; 15 pans</t>
  </si>
  <si>
    <t>Gas 15+ pan</t>
  </si>
  <si>
    <t>Commercial Fryers</t>
  </si>
  <si>
    <t>Preheat Time (mins)</t>
  </si>
  <si>
    <t>Preheat Energy (kwh or Btu)</t>
  </si>
  <si>
    <t>Idle Energy Rate (W or Btuh)</t>
  </si>
  <si>
    <t>Operating Hours/Day</t>
  </si>
  <si>
    <t>Opererating Days/Year</t>
  </si>
  <si>
    <t>Pounds of Food Cooked per Day</t>
  </si>
  <si>
    <t>Standard</t>
  </si>
  <si>
    <t>Large Vat</t>
  </si>
  <si>
    <t>DE TRM 2021 - Commercial Fryer - p.474</t>
  </si>
  <si>
    <t>Entry for pounds cooked exceeds hourly production capacity. Change production capacity below, or change pounds or hours on Inputs tab.</t>
  </si>
  <si>
    <t>#/day</t>
  </si>
  <si>
    <t>Idle Energy Rate</t>
  </si>
  <si>
    <t>W</t>
  </si>
  <si>
    <t>Annual Operation</t>
  </si>
  <si>
    <t>hours/year</t>
  </si>
  <si>
    <t>Usage Time (Cook + Idle)</t>
  </si>
  <si>
    <t>hours/day</t>
  </si>
  <si>
    <t>Cooking Idle Time</t>
  </si>
  <si>
    <t>Daily Preheat Energy</t>
  </si>
  <si>
    <t>Wh</t>
  </si>
  <si>
    <t>Daily Cooking Energy</t>
  </si>
  <si>
    <t>Daily Idle Energy</t>
  </si>
  <si>
    <t>Total Daily Energy</t>
  </si>
  <si>
    <t xml:space="preserve"> Annual energy consumption per fryer</t>
  </si>
  <si>
    <t>Griddle Width (ft)</t>
  </si>
  <si>
    <t>Griddle Depth (ft)</t>
  </si>
  <si>
    <t>Cooking Efficiency</t>
  </si>
  <si>
    <t>Preheats per Day</t>
  </si>
  <si>
    <t>Preheat Energy (Wh or BTUh)</t>
  </si>
  <si>
    <t>Idle Energy Rate (W/sqft or BTUh/sqft)</t>
  </si>
  <si>
    <t xml:space="preserve">Double-Sided </t>
  </si>
  <si>
    <t>Single-Sided</t>
  </si>
  <si>
    <t>DE TRM 2021 - Commercial Griddle - p.485</t>
  </si>
  <si>
    <t>Double-Sided</t>
  </si>
  <si>
    <t>Entry for pounds cooked exceeds hourly production capacity. Change production capacity or griddle depth below, or change pounds, width or hours on Inputs tab.</t>
  </si>
  <si>
    <t>Griddle width</t>
  </si>
  <si>
    <t>feet</t>
  </si>
  <si>
    <t>Griddle depth</t>
  </si>
  <si>
    <t>pounds/hour/sq ft</t>
  </si>
  <si>
    <t>W/sq ft</t>
  </si>
  <si>
    <t>Btu/h/sq ft</t>
  </si>
  <si>
    <t>Annual operation</t>
  </si>
  <si>
    <t>Griddle size</t>
  </si>
  <si>
    <t>square feet</t>
  </si>
  <si>
    <t>Commercial Hot Food Holding Cabinets</t>
  </si>
  <si>
    <t>Volume (ft3)</t>
  </si>
  <si>
    <t>DE TRM 2021 - Commercial Hot Food Holding Cabinets - p.483</t>
  </si>
  <si>
    <t xml:space="preserve"> Annual energy consumption per HFHC</t>
  </si>
  <si>
    <t>Commercial Steam Cooker</t>
  </si>
  <si>
    <t>Pounds of Food Cooked per Day per unit</t>
  </si>
  <si>
    <t>Number of pans per unit</t>
  </si>
  <si>
    <t>Cooking Efficiency (%)</t>
  </si>
  <si>
    <t>Water Use (gal/hr)</t>
  </si>
  <si>
    <t>Time in Steam Mode (%)</t>
  </si>
  <si>
    <t>DE TRM 2021 - Commercial Steam Cookers - p.478</t>
  </si>
  <si>
    <t>steam generator</t>
  </si>
  <si>
    <t>Water Use</t>
  </si>
  <si>
    <t>gallons/hour</t>
  </si>
  <si>
    <t>Time in constant steam mode</t>
  </si>
  <si>
    <t>Production capacity per pan</t>
  </si>
  <si>
    <t>hour</t>
  </si>
  <si>
    <t xml:space="preserve"> Annual energy consumption per steam cooker</t>
  </si>
  <si>
    <t xml:space="preserve"> Annual water consumption per steam cooker</t>
  </si>
  <si>
    <t>Night Covers for Refrigerated Cases</t>
  </si>
  <si>
    <t>Building Type Lookup for EFLH</t>
  </si>
  <si>
    <t>EFLH Location</t>
  </si>
  <si>
    <t>Linear Feet of Refrigerated Case (ft)</t>
  </si>
  <si>
    <t>Refrigeration Coefficient of Performance (COP)</t>
  </si>
  <si>
    <t>Daily Covered Hours</t>
  </si>
  <si>
    <t>Daily Uncovered Hours</t>
  </si>
  <si>
    <t>DE TRM 2021 - Night Covers for Refrigerated Cases - p.441</t>
  </si>
  <si>
    <t>Anti-Condensation Heater Controls - Low/Mid Temperature</t>
  </si>
  <si>
    <t>Connected Load per Door (kW)</t>
  </si>
  <si>
    <t>Number of Doors per Sensor</t>
  </si>
  <si>
    <t>Hours</t>
  </si>
  <si>
    <t>Control %</t>
  </si>
  <si>
    <t>WHFd</t>
  </si>
  <si>
    <t>DE TRM 2021 - Anti-Sweat Heater Controls - p.443</t>
  </si>
  <si>
    <t>Refrigeration Door Gasket Repair/Replacement</t>
  </si>
  <si>
    <t>Refrigeration Type</t>
  </si>
  <si>
    <t xml:space="preserve"> kWSPFe</t>
  </si>
  <si>
    <t xml:space="preserve"> kWhSPFe</t>
  </si>
  <si>
    <t>Length of Gasket Replaced (ft)</t>
  </si>
  <si>
    <t>DE TRM 2021 - Refrigeration Door Gasket Replacement - p.452</t>
  </si>
  <si>
    <t>Version</t>
  </si>
  <si>
    <t>Date</t>
  </si>
  <si>
    <t>Notes</t>
  </si>
  <si>
    <t>Engineer</t>
  </si>
  <si>
    <t>V1</t>
  </si>
  <si>
    <t>Initial Development and Launch</t>
  </si>
  <si>
    <t>Collin Smith</t>
  </si>
  <si>
    <t>Low-flow pre-rinse spray valve, 0.75 - 1.6 gpm, 
CEE Tier 1 or CEE Tier 2 QPL</t>
  </si>
  <si>
    <t>Low-flow pre-rinse spray valve, less than 0.75 gpm, CEE Tier 2</t>
  </si>
  <si>
    <t>Version 6.0 - 2024</t>
  </si>
  <si>
    <t>High Efficiency Pre-Rinse Spray Valve</t>
  </si>
  <si>
    <t>High Efficiency Pre-Rinse Spray Valves</t>
  </si>
  <si>
    <t>Water Heater Type</t>
  </si>
  <si>
    <t>Product Class by Spray Force (ozf)</t>
  </si>
  <si>
    <t>Flow Rate (GPM)</t>
  </si>
  <si>
    <t># of Products</t>
  </si>
  <si>
    <t>Baseline Flow Rate (GPM)</t>
  </si>
  <si>
    <t>HOT %</t>
  </si>
  <si>
    <t>Energy Content of Heated Water (BTU/gallon/°F)</t>
  </si>
  <si>
    <t>Hours of Pre-Rinse Spray Valve Use per Day</t>
  </si>
  <si>
    <t>Temperature Rise through Water Heater (°F)</t>
  </si>
  <si>
    <t>Water Heater Thermal Efficiency</t>
  </si>
  <si>
    <t>Electric Water Heater Efficiency</t>
  </si>
  <si>
    <t>Gas Water Heater Flag</t>
  </si>
  <si>
    <t>Electric Water Heater Flag</t>
  </si>
  <si>
    <t>Rebate</t>
  </si>
  <si>
    <t>ΔMMBtu</t>
  </si>
  <si>
    <t>Mid-Atlantic TRM V9 - Pre-Rinse Spray Valves - p.510</t>
  </si>
  <si>
    <t>Federal Requirements</t>
  </si>
  <si>
    <t xml:space="preserve">https://www.epa.gov/watersense/pre-rinse-spray-valves </t>
  </si>
  <si>
    <t xml:space="preserve">Split </t>
  </si>
  <si>
    <t>AC Tune-Up</t>
  </si>
  <si>
    <t xml:space="preserve">Packaged </t>
  </si>
  <si>
    <t>Dual Enthalpy Economizer - Savings Factors (kWh/ton)</t>
  </si>
  <si>
    <t>Big Box Retail</t>
  </si>
  <si>
    <t>Fast Food</t>
  </si>
  <si>
    <t>Primary School</t>
  </si>
  <si>
    <t>Religious</t>
  </si>
  <si>
    <t>Pre-Rinse Spray Valves</t>
  </si>
  <si>
    <t>Energize Delaware</t>
  </si>
  <si>
    <t>Energy Efficiency Investment Fund (EEIF) for Non-Profits</t>
  </si>
  <si>
    <t>**Calculator file originally developed by NV5 for the DNREC EEIF Program**</t>
  </si>
  <si>
    <t>Prescriptive Appliance &amp; Food Service Measures</t>
  </si>
  <si>
    <t>Prescriptive A&amp;FS Incentive Levels</t>
  </si>
  <si>
    <t>Energy Efficiency Investment Fund (EEIF) for Non-Profits
Prescriptive Appliance &amp; Food Service Measures 
Grant Application Calculator Instructions</t>
  </si>
  <si>
    <t>For inquiries regarding the EEIF for Non-Profits program and application process, please contact Energize Delaware's 
representative AEG at 888-735-1510 or email EnergizeDE@appliedenergygroup.com</t>
  </si>
  <si>
    <r>
      <rPr>
        <b/>
        <u/>
        <sz val="10"/>
        <color theme="1"/>
        <rFont val="Arial"/>
        <family val="2"/>
      </rPr>
      <t>Contact Information:</t>
    </r>
    <r>
      <rPr>
        <sz val="10"/>
        <color theme="1"/>
        <rFont val="Arial"/>
        <family val="2"/>
      </rPr>
      <t xml:space="preserve">
- For inquiries regarding the EEIF for Non-Profits program and application process, please contact Energize Delaware's representative AEG at 888-735-1510 or email EnergizeDE@appliedenergygroup.com
- For questions about the DNREC EEIF program and/or business inquiries, please email  DNREC.EEIF@delaware.gov  
- For DNREC EEIF application assistance, please email DCCE.EnegyRebates@NV5.com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</si>
</sst>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4" formatCode="_(&quot;$&quot;* #,##0.00_);_(&quot;$&quot;* \(#,##0.00\);_(&quot;$&quot;* &quot;-&quot;??_);_(@_)"/>
    <numFmt numFmtId="43" formatCode="_(* #,##0.00_);_(* \(#,##0.00\);_(* &quot;-&quot;??_);_(@_)"/>
    <numFmt numFmtId="164" formatCode="0.0"/>
    <numFmt numFmtId="165" formatCode="0.000"/>
    <numFmt numFmtId="166" formatCode="_(* #,##0_);_(* \(#,##0\);_(* &quot;-&quot;??_);_(@_)"/>
    <numFmt numFmtId="167" formatCode="&quot;$&quot;#,##0"/>
    <numFmt numFmtId="168" formatCode="_(* #,##0.00_);_(* \(#,##0.00\);_(* \-??_);_(@_)"/>
    <numFmt numFmtId="169" formatCode="_(\$* #,##0.00_);_(\$* \(#,##0.00\);_(\$* \-??_);_(@_)"/>
    <numFmt numFmtId="170" formatCode="0.0000000000"/>
    <numFmt numFmtId="171" formatCode="m\-d\-yy"/>
    <numFmt numFmtId="172" formatCode="_(* #,##0.0_);_(* \(#,##0.00\);_(* &quot;-&quot;??_);_(@_)"/>
    <numFmt numFmtId="173" formatCode="General_)"/>
    <numFmt numFmtId="174" formatCode="&quot;fl&quot;#,##0_);\(&quot;fl&quot;#,##0\)"/>
    <numFmt numFmtId="175" formatCode="&quot;fl&quot;#,##0_);[Red]\(&quot;fl&quot;#,##0\)"/>
    <numFmt numFmtId="176" formatCode="_-* #,##0_-;\-* #,##0_-;_-* &quot;-&quot;_-;_-@_-"/>
    <numFmt numFmtId="177" formatCode="_-* #,##0.0_-;\-* #,##0.0_-;_-* &quot;-&quot;??_-;_-@_-"/>
    <numFmt numFmtId="178" formatCode="#,##0.00&quot; $&quot;;\-#,##0.00&quot; $&quot;"/>
    <numFmt numFmtId="179" formatCode="0.00_)"/>
    <numFmt numFmtId="180" formatCode="dd"/>
    <numFmt numFmtId="181" formatCode="_(&quot;$&quot;* #,##0.00000_);_(&quot;$&quot;* \(#,##0.00000\);_(&quot;$&quot;* &quot;-&quot;??_);_(@_)"/>
    <numFmt numFmtId="182" formatCode="_(&quot;$&quot;* #,##0.0000_);_(&quot;$&quot;* \(#,##0.0000\);_(&quot;$&quot;* &quot;-&quot;??_);_(@_)"/>
    <numFmt numFmtId="183" formatCode="#,##0.0000"/>
    <numFmt numFmtId="184" formatCode="0.0000"/>
    <numFmt numFmtId="185" formatCode="_-[$€-2]* #,##0.00_-;\-[$€-2]* #,##0.00_-;_-[$€-2]* &quot;-&quot;??_-"/>
    <numFmt numFmtId="186" formatCode="0.0%"/>
    <numFmt numFmtId="187" formatCode="&quot;$&quot;\ 0"/>
    <numFmt numFmtId="188" formatCode="&quot;$&quot;#,##0.00"/>
    <numFmt numFmtId="189" formatCode="#,##0.0"/>
    <numFmt numFmtId="190" formatCode="#,##0;[Red]#,##0"/>
    <numFmt numFmtId="191" formatCode="_(* #,##0.0_);_(* \(#,##0.0\);_(* &quot;-&quot;??_);_(@_)"/>
  </numFmts>
  <fonts count="148">
    <font>
      <sz val="11"/>
      <color theme="1"/>
      <name val="Calibri"/>
      <family val="2"/>
      <scheme val="minor"/>
    </font>
    <font>
      <sz val="11"/>
      <color theme="1"/>
      <name val="Calibri"/>
      <family val="2"/>
      <scheme val="minor"/>
    </font>
    <font>
      <sz val="10"/>
      <name val="Arial"/>
      <family val="2"/>
    </font>
    <font>
      <sz val="10"/>
      <color theme="1"/>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Times New Roman"/>
      <family val="1"/>
    </font>
    <font>
      <b/>
      <sz val="12"/>
      <name val="Arial"/>
      <family val="2"/>
    </font>
    <font>
      <sz val="12"/>
      <name val="Arial"/>
      <family val="2"/>
    </font>
    <font>
      <b/>
      <sz val="10"/>
      <name val="Arial"/>
      <family val="2"/>
    </font>
    <font>
      <sz val="10"/>
      <name val="Mangal"/>
      <family val="2"/>
    </font>
    <font>
      <u/>
      <sz val="8"/>
      <color indexed="12"/>
      <name val="Arial"/>
      <family val="2"/>
      <charset val="1"/>
    </font>
    <font>
      <u/>
      <sz val="8.5"/>
      <color indexed="12"/>
      <name val="Arial"/>
      <family val="2"/>
      <charset val="1"/>
    </font>
    <font>
      <u/>
      <sz val="10"/>
      <color indexed="12"/>
      <name val="Arial"/>
      <family val="2"/>
    </font>
    <font>
      <sz val="7"/>
      <name val="Small Fonts"/>
      <family val="2"/>
      <charset val="1"/>
    </font>
    <font>
      <sz val="11"/>
      <color indexed="8"/>
      <name val="Calibri"/>
      <family val="2"/>
      <charset val="1"/>
    </font>
    <font>
      <sz val="10"/>
      <name val="Arial"/>
      <family val="2"/>
      <charset val="1"/>
    </font>
    <font>
      <sz val="8"/>
      <name val="Arial"/>
      <family val="2"/>
    </font>
    <font>
      <sz val="10"/>
      <name val="Geneva"/>
    </font>
    <font>
      <sz val="9"/>
      <name val="Times New Roman"/>
      <family val="1"/>
    </font>
    <font>
      <sz val="10"/>
      <name val="Courier"/>
      <family val="3"/>
    </font>
    <font>
      <b/>
      <sz val="24"/>
      <color indexed="8"/>
      <name val="Arial"/>
      <family val="2"/>
    </font>
    <font>
      <sz val="11"/>
      <name val="??"/>
      <family val="3"/>
      <charset val="129"/>
    </font>
    <font>
      <sz val="10"/>
      <color indexed="8"/>
      <name val="Arial"/>
      <family val="2"/>
    </font>
    <font>
      <b/>
      <u/>
      <sz val="11"/>
      <color indexed="37"/>
      <name val="Arial"/>
      <family val="2"/>
    </font>
    <font>
      <sz val="10"/>
      <color indexed="12"/>
      <name val="Arial"/>
      <family val="2"/>
    </font>
    <font>
      <b/>
      <i/>
      <sz val="16"/>
      <name val="Helv"/>
    </font>
    <font>
      <sz val="10"/>
      <color indexed="8"/>
      <name val="MS Sans Serif"/>
      <family val="2"/>
    </font>
    <font>
      <sz val="10"/>
      <name val="Helv"/>
    </font>
    <font>
      <b/>
      <sz val="8"/>
      <name val="Arial"/>
      <family val="2"/>
    </font>
    <font>
      <i/>
      <sz val="8"/>
      <name val="Arial"/>
      <family val="2"/>
    </font>
    <font>
      <sz val="8"/>
      <color indexed="12"/>
      <name val="Arial"/>
      <family val="2"/>
    </font>
    <font>
      <sz val="10"/>
      <color rgb="FF000000"/>
      <name val="Arial"/>
      <family val="2"/>
    </font>
    <font>
      <sz val="8"/>
      <name val="Calibri"/>
      <family val="2"/>
      <scheme val="minor"/>
    </font>
    <font>
      <sz val="9"/>
      <color rgb="FF000000"/>
      <name val="Arial"/>
      <family val="2"/>
    </font>
    <font>
      <sz val="9"/>
      <color theme="1"/>
      <name val="Arial"/>
      <family val="2"/>
    </font>
    <font>
      <sz val="11"/>
      <color theme="1"/>
      <name val="Arial"/>
      <family val="2"/>
    </font>
    <font>
      <b/>
      <sz val="11"/>
      <color theme="1"/>
      <name val="Arial"/>
      <family val="2"/>
    </font>
    <font>
      <sz val="11"/>
      <color theme="0"/>
      <name val="Arial"/>
      <family val="2"/>
    </font>
    <font>
      <sz val="14"/>
      <color theme="1"/>
      <name val="Arial"/>
      <family val="2"/>
    </font>
    <font>
      <sz val="11"/>
      <name val="Calibri"/>
      <family val="2"/>
    </font>
    <font>
      <sz val="11"/>
      <color rgb="FF000000"/>
      <name val="Calibri"/>
      <family val="2"/>
    </font>
    <font>
      <sz val="11"/>
      <name val="Calibri"/>
      <family val="2"/>
      <scheme val="minor"/>
    </font>
    <font>
      <sz val="10"/>
      <name val="Times New Roman"/>
      <family val="1"/>
      <charset val="204"/>
    </font>
    <font>
      <b/>
      <sz val="12"/>
      <color rgb="FF000000"/>
      <name val="Arial"/>
      <family val="2"/>
    </font>
    <font>
      <b/>
      <sz val="14"/>
      <color rgb="FF000000"/>
      <name val="Arial"/>
      <family val="2"/>
    </font>
    <font>
      <b/>
      <sz val="9"/>
      <color indexed="8"/>
      <name val="Arial"/>
      <family val="2"/>
    </font>
    <font>
      <sz val="9"/>
      <color indexed="8"/>
      <name val="Arial"/>
      <family val="2"/>
    </font>
    <font>
      <i/>
      <sz val="10"/>
      <color rgb="FF000000"/>
      <name val="Times New Roman"/>
      <family val="1"/>
    </font>
    <font>
      <b/>
      <sz val="10"/>
      <color rgb="FF000000"/>
      <name val="Times New Roman"/>
      <family val="1"/>
    </font>
    <font>
      <sz val="8"/>
      <color rgb="FF000000"/>
      <name val="Times New Roman"/>
      <family val="1"/>
    </font>
    <font>
      <u/>
      <sz val="11"/>
      <color theme="10"/>
      <name val="Calibri"/>
      <family val="2"/>
      <scheme val="minor"/>
    </font>
    <font>
      <sz val="11"/>
      <color rgb="FFFF0000"/>
      <name val="Arial"/>
      <family val="2"/>
    </font>
    <font>
      <b/>
      <sz val="14"/>
      <color rgb="FFFA9500"/>
      <name val="Arial"/>
      <family val="2"/>
    </font>
    <font>
      <b/>
      <sz val="12"/>
      <color rgb="FFFF0000"/>
      <name val="Arial"/>
      <family val="2"/>
    </font>
    <font>
      <sz val="10"/>
      <color theme="0"/>
      <name val="Arial"/>
      <family val="2"/>
    </font>
    <font>
      <sz val="20"/>
      <color rgb="FF000000"/>
      <name val="Times New Roman"/>
      <family val="1"/>
    </font>
    <font>
      <b/>
      <sz val="11"/>
      <color theme="1"/>
      <name val="Calibri"/>
      <family val="2"/>
    </font>
    <font>
      <b/>
      <i/>
      <sz val="9"/>
      <color theme="1"/>
      <name val="Calibri"/>
      <family val="2"/>
      <scheme val="minor"/>
    </font>
    <font>
      <u/>
      <sz val="12"/>
      <color theme="0"/>
      <name val="Arial"/>
      <family val="2"/>
    </font>
    <font>
      <b/>
      <sz val="11"/>
      <color indexed="8"/>
      <name val="Arial"/>
      <family val="2"/>
    </font>
    <font>
      <b/>
      <sz val="12"/>
      <color theme="1"/>
      <name val="Arial"/>
      <family val="2"/>
    </font>
    <font>
      <b/>
      <sz val="14"/>
      <color theme="1"/>
      <name val="Arial"/>
      <family val="2"/>
    </font>
    <font>
      <sz val="11"/>
      <color indexed="8"/>
      <name val="Arial"/>
      <family val="2"/>
    </font>
    <font>
      <sz val="8"/>
      <color theme="1"/>
      <name val="Arial"/>
      <family val="2"/>
    </font>
    <font>
      <u/>
      <sz val="10"/>
      <color theme="10"/>
      <name val="Times New Roman"/>
      <family val="1"/>
    </font>
    <font>
      <sz val="10"/>
      <color rgb="FF000000"/>
      <name val="Calibri"/>
      <family val="2"/>
    </font>
    <font>
      <u/>
      <sz val="8"/>
      <color theme="10"/>
      <name val="Times New Roman"/>
      <family val="1"/>
    </font>
    <font>
      <i/>
      <sz val="10"/>
      <color theme="1"/>
      <name val="Times New Roman"/>
      <family val="1"/>
    </font>
    <font>
      <sz val="10"/>
      <color rgb="FF000000"/>
      <name val="Times New Roman"/>
      <family val="2"/>
    </font>
    <font>
      <sz val="10"/>
      <color theme="1"/>
      <name val="Times New Roman"/>
      <family val="1"/>
    </font>
    <font>
      <sz val="10"/>
      <color rgb="FF000000"/>
      <name val="Times New Roman"/>
      <family val="2"/>
      <charset val="204"/>
    </font>
    <font>
      <sz val="11"/>
      <color theme="1"/>
      <name val="Times New Roman"/>
      <family val="1"/>
    </font>
    <font>
      <sz val="8"/>
      <color rgb="FF000000"/>
      <name val="Arial"/>
      <family val="2"/>
    </font>
    <font>
      <u/>
      <sz val="8"/>
      <color theme="10"/>
      <name val="Arial"/>
      <family val="2"/>
    </font>
    <font>
      <b/>
      <sz val="10"/>
      <color theme="0"/>
      <name val="Arial"/>
      <family val="2"/>
    </font>
    <font>
      <b/>
      <sz val="9"/>
      <name val="Arial"/>
      <family val="2"/>
    </font>
    <font>
      <sz val="9"/>
      <name val="Arial"/>
      <family val="2"/>
    </font>
    <font>
      <sz val="9"/>
      <name val="Univers"/>
      <family val="2"/>
    </font>
    <font>
      <sz val="8"/>
      <color indexed="45"/>
      <name val="Arial"/>
      <family val="2"/>
    </font>
    <font>
      <sz val="10"/>
      <name val="Univers"/>
      <family val="2"/>
    </font>
    <font>
      <b/>
      <sz val="10"/>
      <name val="Univers"/>
      <family val="2"/>
    </font>
    <font>
      <b/>
      <sz val="11"/>
      <name val="Arial"/>
      <family val="2"/>
    </font>
    <font>
      <i/>
      <sz val="11"/>
      <name val="Arial"/>
      <family val="2"/>
    </font>
    <font>
      <sz val="9.5"/>
      <name val="Arial"/>
      <family val="2"/>
    </font>
    <font>
      <sz val="11"/>
      <name val="Arial"/>
      <family val="2"/>
    </font>
    <font>
      <b/>
      <sz val="13"/>
      <name val="Arial"/>
      <family val="2"/>
    </font>
    <font>
      <b/>
      <vertAlign val="superscript"/>
      <sz val="9"/>
      <name val="Arial"/>
      <family val="2"/>
    </font>
    <font>
      <vertAlign val="superscript"/>
      <sz val="9"/>
      <name val="Arial"/>
      <family val="2"/>
    </font>
    <font>
      <b/>
      <sz val="10"/>
      <name val="Times New Roman"/>
      <family val="1"/>
      <charset val="204"/>
    </font>
    <font>
      <sz val="9"/>
      <color indexed="22"/>
      <name val="Arial"/>
      <family val="2"/>
    </font>
    <font>
      <i/>
      <sz val="9"/>
      <name val="Arial"/>
      <family val="2"/>
    </font>
    <font>
      <b/>
      <sz val="9"/>
      <color rgb="FFCD259D"/>
      <name val="Arial"/>
      <family val="2"/>
    </font>
    <font>
      <b/>
      <sz val="13"/>
      <color indexed="48"/>
      <name val="Arial"/>
      <family val="2"/>
    </font>
    <font>
      <sz val="8"/>
      <color indexed="48"/>
      <name val="Arial"/>
      <family val="2"/>
    </font>
    <font>
      <sz val="9"/>
      <color indexed="45"/>
      <name val="Arial"/>
      <family val="2"/>
    </font>
    <font>
      <sz val="10"/>
      <color rgb="FFFF0000"/>
      <name val="Arial"/>
      <family val="2"/>
    </font>
    <font>
      <sz val="9"/>
      <color indexed="48"/>
      <name val="Arial"/>
      <family val="2"/>
    </font>
    <font>
      <sz val="10"/>
      <color indexed="48"/>
      <name val="Arial"/>
      <family val="2"/>
    </font>
    <font>
      <sz val="10"/>
      <color theme="5" tint="0.39997558519241921"/>
      <name val="Arial"/>
      <family val="2"/>
    </font>
    <font>
      <sz val="12"/>
      <color rgb="FFFF0000"/>
      <name val="Symbol"/>
      <family val="1"/>
      <charset val="2"/>
    </font>
    <font>
      <sz val="10"/>
      <color rgb="FFFF0000"/>
      <name val="Times New Roman"/>
      <family val="1"/>
    </font>
    <font>
      <u/>
      <sz val="10"/>
      <color rgb="FFFF0000"/>
      <name val="Arial"/>
      <family val="2"/>
    </font>
    <font>
      <sz val="10"/>
      <color indexed="9"/>
      <name val="Univers"/>
      <family val="2"/>
    </font>
    <font>
      <sz val="9"/>
      <color indexed="9"/>
      <name val="Univers"/>
      <family val="2"/>
    </font>
    <font>
      <sz val="9"/>
      <color indexed="9"/>
      <name val="Arial"/>
      <family val="2"/>
    </font>
    <font>
      <b/>
      <sz val="9"/>
      <color theme="1"/>
      <name val="Arial"/>
      <family val="2"/>
    </font>
    <font>
      <sz val="9"/>
      <color theme="0"/>
      <name val="Arial"/>
      <family val="2"/>
    </font>
    <font>
      <sz val="10"/>
      <color rgb="FFFFC000"/>
      <name val="Univers"/>
      <family val="2"/>
    </font>
    <font>
      <sz val="9"/>
      <color rgb="FFFFC000"/>
      <name val="Univers"/>
      <family val="2"/>
    </font>
    <font>
      <sz val="9"/>
      <color rgb="FFFFC000"/>
      <name val="Arial"/>
      <family val="2"/>
    </font>
    <font>
      <sz val="9"/>
      <color theme="5"/>
      <name val="Arial"/>
      <family val="2"/>
    </font>
    <font>
      <b/>
      <u/>
      <sz val="10"/>
      <color rgb="FFFF0000"/>
      <name val="Arial"/>
      <family val="2"/>
    </font>
    <font>
      <b/>
      <sz val="13"/>
      <color theme="1"/>
      <name val="Arial"/>
      <family val="2"/>
    </font>
    <font>
      <b/>
      <u/>
      <sz val="10"/>
      <color theme="1"/>
      <name val="Arial"/>
      <family val="2"/>
    </font>
    <font>
      <b/>
      <sz val="16"/>
      <color rgb="FF0060AF"/>
      <name val="Arial"/>
      <family val="2"/>
    </font>
    <font>
      <b/>
      <sz val="14"/>
      <name val="Arial"/>
      <family val="2"/>
    </font>
  </fonts>
  <fills count="8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theme="8" tint="0.59996337778862885"/>
        <bgColor indexed="64"/>
      </patternFill>
    </fill>
    <fill>
      <patternFill patternType="solid">
        <fgColor theme="9" tint="0.39997558519241921"/>
        <bgColor indexed="64"/>
      </patternFill>
    </fill>
    <fill>
      <patternFill patternType="solid">
        <fgColor rgb="FFD0CECE"/>
        <bgColor indexed="64"/>
      </patternFill>
    </fill>
    <fill>
      <patternFill patternType="solid">
        <fgColor rgb="FF0060AF"/>
        <bgColor indexed="64"/>
      </patternFill>
    </fill>
    <fill>
      <patternFill patternType="solid">
        <fgColor rgb="FFFFF2CC"/>
        <bgColor indexed="64"/>
      </patternFill>
    </fill>
    <fill>
      <patternFill patternType="solid">
        <fgColor rgb="FF6A6A6A"/>
        <bgColor indexed="26"/>
      </patternFill>
    </fill>
    <fill>
      <patternFill patternType="solid">
        <fgColor rgb="FF6A6A6A"/>
        <bgColor indexed="64"/>
      </patternFill>
    </fill>
    <fill>
      <patternFill patternType="solid">
        <fgColor rgb="FFADAAAA"/>
        <bgColor indexed="64"/>
      </patternFill>
    </fill>
    <fill>
      <patternFill patternType="solid">
        <fgColor rgb="FFFF0000"/>
        <bgColor indexed="64"/>
      </patternFill>
    </fill>
    <fill>
      <patternFill patternType="solid">
        <fgColor theme="0" tint="-0.34998626667073579"/>
        <bgColor indexed="64"/>
      </patternFill>
    </fill>
    <fill>
      <patternFill patternType="solid">
        <fgColor rgb="FFCCFFFF"/>
        <bgColor indexed="64"/>
      </patternFill>
    </fill>
    <fill>
      <patternFill patternType="solid">
        <fgColor indexed="41"/>
        <bgColor indexed="64"/>
      </patternFill>
    </fill>
    <fill>
      <patternFill patternType="solid">
        <fgColor theme="0" tint="-0.14999847407452621"/>
        <bgColor theme="0" tint="-0.14999847407452621"/>
      </patternFill>
    </fill>
    <fill>
      <patternFill patternType="darkDown">
        <bgColor theme="4" tint="0.79998168889431442"/>
      </patternFill>
    </fill>
    <fill>
      <patternFill patternType="solid">
        <fgColor theme="1" tint="0.499984740745262"/>
        <bgColor indexed="64"/>
      </patternFill>
    </fill>
    <fill>
      <patternFill patternType="solid">
        <fgColor rgb="FFFBE9B7"/>
        <bgColor indexed="64"/>
      </patternFill>
    </fill>
    <fill>
      <patternFill patternType="solid">
        <fgColor rgb="FFFFF49F"/>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bottom style="hair">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theme="1"/>
      </top>
      <bottom style="thin">
        <color theme="1"/>
      </bottom>
      <diagonal/>
    </border>
    <border>
      <left/>
      <right style="thin">
        <color auto="1"/>
      </right>
      <top style="thin">
        <color auto="1"/>
      </top>
      <bottom style="thin">
        <color theme="1" tint="0.499984740745262"/>
      </bottom>
      <diagonal/>
    </border>
    <border>
      <left/>
      <right style="thin">
        <color auto="1"/>
      </right>
      <top style="thin">
        <color theme="1" tint="0.499984740745262"/>
      </top>
      <bottom style="thin">
        <color theme="1" tint="0.499984740745262"/>
      </bottom>
      <diagonal/>
    </border>
    <border>
      <left style="thin">
        <color auto="1"/>
      </left>
      <right/>
      <top/>
      <bottom style="thin">
        <color theme="1" tint="0.499984740745262"/>
      </bottom>
      <diagonal/>
    </border>
    <border>
      <left/>
      <right style="thin">
        <color auto="1"/>
      </right>
      <top/>
      <bottom style="thin">
        <color theme="1" tint="0.499984740745262"/>
      </bottom>
      <diagonal/>
    </border>
    <border>
      <left/>
      <right style="thin">
        <color auto="1"/>
      </right>
      <top style="thin">
        <color theme="1" tint="0.499984740745262"/>
      </top>
      <bottom/>
      <diagonal/>
    </border>
    <border>
      <left style="thin">
        <color auto="1"/>
      </left>
      <right/>
      <top style="thin">
        <color theme="1" tint="0.499984740745262"/>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882">
    <xf numFmtId="0" fontId="0" fillId="0" borderId="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5" fillId="0" borderId="13" applyNumberFormat="0" applyFill="0" applyAlignment="0" applyProtection="0"/>
    <xf numFmtId="0" fontId="6" fillId="0" borderId="14" applyNumberFormat="0" applyFill="0" applyAlignment="0" applyProtection="0"/>
    <xf numFmtId="0" fontId="7" fillId="0" borderId="1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7" borderId="16" applyNumberFormat="0" applyAlignment="0" applyProtection="0"/>
    <xf numFmtId="0" fontId="11" fillId="8" borderId="17" applyNumberFormat="0" applyAlignment="0" applyProtection="0"/>
    <xf numFmtId="0" fontId="12" fillId="8" borderId="16" applyNumberFormat="0" applyAlignment="0" applyProtection="0"/>
    <xf numFmtId="0" fontId="13" fillId="0" borderId="18" applyNumberFormat="0" applyFill="0" applyAlignment="0" applyProtection="0"/>
    <xf numFmtId="0" fontId="14" fillId="9" borderId="19" applyNumberFormat="0" applyAlignment="0" applyProtection="0"/>
    <xf numFmtId="0" fontId="15" fillId="0" borderId="0" applyNumberFormat="0" applyFill="0" applyBorder="0" applyAlignment="0" applyProtection="0"/>
    <xf numFmtId="0" fontId="1" fillId="10" borderId="20" applyNumberFormat="0" applyFont="0" applyAlignment="0" applyProtection="0"/>
    <xf numFmtId="0" fontId="16" fillId="0" borderId="0" applyNumberFormat="0" applyFill="0" applyBorder="0" applyAlignment="0" applyProtection="0"/>
    <xf numFmtId="0" fontId="4" fillId="0" borderId="2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1" fillId="46"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53" borderId="0" applyNumberFormat="0" applyBorder="0" applyAlignment="0" applyProtection="0"/>
    <xf numFmtId="0" fontId="22" fillId="37" borderId="0" applyNumberFormat="0" applyBorder="0" applyAlignment="0" applyProtection="0"/>
    <xf numFmtId="0" fontId="23" fillId="54" borderId="22" applyNumberFormat="0" applyAlignment="0" applyProtection="0"/>
    <xf numFmtId="0" fontId="24" fillId="55" borderId="23" applyNumberFormat="0" applyAlignment="0" applyProtection="0"/>
    <xf numFmtId="44" fontId="2" fillId="0" borderId="0" applyFont="0" applyFill="0" applyBorder="0" applyAlignment="0" applyProtection="0"/>
    <xf numFmtId="44" fontId="20" fillId="0" borderId="0" applyFont="0" applyFill="0" applyBorder="0" applyAlignment="0" applyProtection="0"/>
    <xf numFmtId="0" fontId="25" fillId="0" borderId="0" applyNumberFormat="0" applyFill="0" applyBorder="0" applyAlignment="0" applyProtection="0"/>
    <xf numFmtId="0" fontId="26" fillId="38" borderId="0" applyNumberFormat="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1" borderId="22" applyNumberFormat="0" applyAlignment="0" applyProtection="0"/>
    <xf numFmtId="0" fontId="31" fillId="0" borderId="27" applyNumberFormat="0" applyFill="0" applyAlignment="0" applyProtection="0"/>
    <xf numFmtId="0" fontId="3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57" borderId="28" applyNumberFormat="0" applyFont="0" applyAlignment="0" applyProtection="0"/>
    <xf numFmtId="0" fontId="33" fillId="54" borderId="29" applyNumberFormat="0" applyAlignment="0" applyProtection="0"/>
    <xf numFmtId="9" fontId="2" fillId="0" borderId="0" applyFon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6" fillId="0" borderId="0" applyNumberFormat="0" applyFill="0" applyBorder="0" applyAlignment="0" applyProtection="0"/>
    <xf numFmtId="0" fontId="2" fillId="0" borderId="0"/>
    <xf numFmtId="0" fontId="37" fillId="0" borderId="0"/>
    <xf numFmtId="0" fontId="1" fillId="0" borderId="0"/>
    <xf numFmtId="0" fontId="20" fillId="0" borderId="0"/>
    <xf numFmtId="168" fontId="20"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0"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37" fontId="45" fillId="0" borderId="0"/>
    <xf numFmtId="0" fontId="46"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48" fillId="0" borderId="0" applyFont="0" applyFill="0" applyBorder="0" applyAlignment="0" applyProtection="0">
      <alignment horizontal="right"/>
    </xf>
    <xf numFmtId="2" fontId="48" fillId="0" borderId="0" applyFont="0" applyFill="0" applyBorder="0" applyAlignment="0" applyProtection="0">
      <alignment horizontal="right"/>
    </xf>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9"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7" fillId="44" borderId="0" applyNumberFormat="0" applyBorder="0" applyAlignment="0" applyProtection="0"/>
    <xf numFmtId="0" fontId="21" fillId="44" borderId="0" applyNumberFormat="0" applyBorder="0" applyAlignment="0" applyProtection="0"/>
    <xf numFmtId="0" fontId="17" fillId="44" borderId="0" applyNumberFormat="0" applyBorder="0" applyAlignment="0" applyProtection="0"/>
    <xf numFmtId="0" fontId="17" fillId="47" borderId="0" applyNumberFormat="0" applyBorder="0" applyAlignment="0" applyProtection="0"/>
    <xf numFmtId="0" fontId="21" fillId="47" borderId="0" applyNumberFormat="0" applyBorder="0" applyAlignment="0" applyProtection="0"/>
    <xf numFmtId="0" fontId="17" fillId="47" borderId="0" applyNumberFormat="0" applyBorder="0" applyAlignment="0" applyProtection="0"/>
    <xf numFmtId="0" fontId="17" fillId="49" borderId="0" applyNumberFormat="0" applyBorder="0" applyAlignment="0" applyProtection="0"/>
    <xf numFmtId="0" fontId="21" fillId="49" borderId="0" applyNumberFormat="0" applyBorder="0" applyAlignment="0" applyProtection="0"/>
    <xf numFmtId="0" fontId="17" fillId="49" borderId="0" applyNumberFormat="0" applyBorder="0" applyAlignment="0" applyProtection="0"/>
    <xf numFmtId="170" fontId="49" fillId="60" borderId="31">
      <alignment horizontal="center" vertical="center"/>
    </xf>
    <xf numFmtId="171" fontId="40" fillId="60" borderId="31">
      <alignment horizontal="center" vertical="center"/>
    </xf>
    <xf numFmtId="172" fontId="50" fillId="0" borderId="0" applyFill="0" applyBorder="0" applyAlignment="0"/>
    <xf numFmtId="173" fontId="50" fillId="0" borderId="0" applyFill="0" applyBorder="0" applyAlignment="0"/>
    <xf numFmtId="165" fontId="50" fillId="0" borderId="0" applyFill="0" applyBorder="0" applyAlignment="0"/>
    <xf numFmtId="174" fontId="50" fillId="0" borderId="0" applyFill="0" applyBorder="0" applyAlignment="0"/>
    <xf numFmtId="175"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2"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48" fillId="0" borderId="0" applyFont="0" applyFill="0" applyBorder="0" applyAlignment="0" applyProtection="0">
      <alignment horizontal="right"/>
    </xf>
    <xf numFmtId="173" fontId="5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48" fillId="0" borderId="0"/>
    <xf numFmtId="6" fontId="53" fillId="0" borderId="0">
      <protection locked="0"/>
    </xf>
    <xf numFmtId="14" fontId="54" fillId="0" borderId="0" applyFill="0" applyBorder="0" applyAlignment="0"/>
    <xf numFmtId="176" fontId="2" fillId="0" borderId="32">
      <alignment vertical="center"/>
    </xf>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7" fontId="2" fillId="0" borderId="0">
      <protection locked="0"/>
    </xf>
    <xf numFmtId="38" fontId="48" fillId="59" borderId="0" applyNumberFormat="0" applyBorder="0" applyAlignment="0" applyProtection="0"/>
    <xf numFmtId="38" fontId="48" fillId="59" borderId="0" applyNumberFormat="0" applyBorder="0" applyAlignment="0" applyProtection="0"/>
    <xf numFmtId="0" fontId="55" fillId="0" borderId="0" applyNumberFormat="0" applyFill="0" applyBorder="0" applyAlignment="0" applyProtection="0"/>
    <xf numFmtId="0" fontId="38" fillId="0" borderId="9" applyNumberFormat="0" applyAlignment="0" applyProtection="0">
      <alignment horizontal="left" vertical="center"/>
    </xf>
    <xf numFmtId="0" fontId="38" fillId="0" borderId="6">
      <alignment horizontal="left" vertical="center"/>
    </xf>
    <xf numFmtId="0" fontId="38" fillId="0" borderId="6">
      <alignment horizontal="left" vertical="center"/>
    </xf>
    <xf numFmtId="178" fontId="2" fillId="0" borderId="0">
      <protection locked="0"/>
    </xf>
    <xf numFmtId="178" fontId="2" fillId="0" borderId="0">
      <protection locked="0"/>
    </xf>
    <xf numFmtId="0" fontId="56" fillId="0" borderId="33" applyNumberFormat="0" applyFill="0" applyAlignment="0" applyProtection="0"/>
    <xf numFmtId="10" fontId="48" fillId="61" borderId="1" applyNumberFormat="0" applyBorder="0" applyAlignment="0" applyProtection="0"/>
    <xf numFmtId="10" fontId="48" fillId="61" borderId="1" applyNumberFormat="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9" fontId="5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2" fillId="0" borderId="0"/>
    <xf numFmtId="0" fontId="58"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48" fillId="0" borderId="0"/>
    <xf numFmtId="0" fontId="48" fillId="0" borderId="0"/>
    <xf numFmtId="0" fontId="2" fillId="0" borderId="0"/>
    <xf numFmtId="0" fontId="58" fillId="0" borderId="0"/>
    <xf numFmtId="0" fontId="2" fillId="0" borderId="0" applyNumberFormat="0" applyFill="0" applyBorder="0" applyAlignment="0" applyProtection="0"/>
    <xf numFmtId="0" fontId="1" fillId="0" borderId="0"/>
    <xf numFmtId="0" fontId="59" fillId="0" borderId="0"/>
    <xf numFmtId="0" fontId="1" fillId="0" borderId="0"/>
    <xf numFmtId="0" fontId="2"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0" fontId="2" fillId="0" borderId="0"/>
    <xf numFmtId="0" fontId="2" fillId="0" borderId="0"/>
    <xf numFmtId="0" fontId="2" fillId="0" borderId="0"/>
    <xf numFmtId="0" fontId="20" fillId="0" borderId="0"/>
    <xf numFmtId="0" fontId="1" fillId="0" borderId="0"/>
    <xf numFmtId="0" fontId="1" fillId="0" borderId="0"/>
    <xf numFmtId="0" fontId="1" fillId="0" borderId="0"/>
    <xf numFmtId="0" fontId="2" fillId="0" borderId="0"/>
    <xf numFmtId="0" fontId="1" fillId="0" borderId="0"/>
    <xf numFmtId="0" fontId="20" fillId="10" borderId="20" applyNumberFormat="0" applyFont="0" applyAlignment="0" applyProtection="0"/>
    <xf numFmtId="0" fontId="2" fillId="57" borderId="28" applyNumberFormat="0" applyFont="0" applyAlignment="0" applyProtection="0"/>
    <xf numFmtId="0" fontId="20" fillId="10" borderId="20" applyNumberFormat="0" applyFont="0" applyAlignment="0" applyProtection="0"/>
    <xf numFmtId="0" fontId="60" fillId="0" borderId="5" applyFill="0" applyProtection="0">
      <alignment horizontal="right" wrapText="1"/>
    </xf>
    <xf numFmtId="175" fontId="50" fillId="0" borderId="0" applyFont="0" applyFill="0" applyBorder="0" applyAlignment="0" applyProtection="0"/>
    <xf numFmtId="18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0" fontId="61" fillId="0" borderId="0" applyFill="0" applyBorder="0" applyProtection="0">
      <alignment horizontal="left" wrapText="1"/>
    </xf>
    <xf numFmtId="49" fontId="54" fillId="0" borderId="0" applyFill="0" applyBorder="0" applyAlignment="0"/>
    <xf numFmtId="181" fontId="2" fillId="0" borderId="0" applyFill="0" applyBorder="0" applyAlignment="0"/>
    <xf numFmtId="182" fontId="2" fillId="0" borderId="0" applyFill="0" applyBorder="0" applyAlignment="0"/>
    <xf numFmtId="178" fontId="2" fillId="0" borderId="34">
      <protection locked="0"/>
    </xf>
    <xf numFmtId="37" fontId="48" fillId="62" borderId="0" applyNumberFormat="0" applyBorder="0" applyAlignment="0" applyProtection="0"/>
    <xf numFmtId="37" fontId="48" fillId="62" borderId="0" applyNumberFormat="0" applyBorder="0" applyAlignment="0" applyProtection="0"/>
    <xf numFmtId="37" fontId="48" fillId="0" borderId="0"/>
    <xf numFmtId="3" fontId="62" fillId="0" borderId="33" applyProtection="0"/>
    <xf numFmtId="0" fontId="23" fillId="54" borderId="22" applyNumberFormat="0" applyAlignment="0" applyProtection="0"/>
    <xf numFmtId="10" fontId="48" fillId="61" borderId="1" applyNumberFormat="0" applyBorder="0" applyAlignment="0" applyProtection="0"/>
    <xf numFmtId="10" fontId="48" fillId="61" borderId="1" applyNumberFormat="0" applyBorder="0" applyAlignment="0" applyProtection="0"/>
    <xf numFmtId="0" fontId="30" fillId="41" borderId="22" applyNumberFormat="0" applyAlignment="0" applyProtection="0"/>
    <xf numFmtId="0" fontId="30" fillId="41" borderId="22" applyNumberFormat="0" applyAlignment="0" applyProtection="0"/>
    <xf numFmtId="0" fontId="23" fillId="54" borderId="22"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10" fontId="48" fillId="61" borderId="1" applyNumberFormat="0" applyBorder="0" applyAlignment="0" applyProtection="0"/>
    <xf numFmtId="10" fontId="48" fillId="61" borderId="1" applyNumberFormat="0" applyBorder="0" applyAlignment="0" applyProtection="0"/>
    <xf numFmtId="0" fontId="38" fillId="0" borderId="6">
      <alignment horizontal="left" vertical="center"/>
    </xf>
    <xf numFmtId="0" fontId="38" fillId="0" borderId="6">
      <alignment horizontal="left" vertical="center"/>
    </xf>
    <xf numFmtId="10" fontId="48" fillId="61" borderId="1" applyNumberFormat="0" applyBorder="0" applyAlignment="0" applyProtection="0"/>
    <xf numFmtId="10" fontId="48" fillId="61" borderId="1" applyNumberFormat="0" applyBorder="0" applyAlignment="0" applyProtection="0"/>
    <xf numFmtId="185" fontId="72" fillId="0" borderId="0"/>
    <xf numFmtId="0" fontId="73" fillId="63" borderId="37" applyFont="0" applyBorder="0">
      <alignment vertical="center"/>
    </xf>
    <xf numFmtId="0" fontId="1" fillId="64" borderId="35" applyFont="0" applyBorder="0" applyAlignment="0">
      <alignment vertical="center"/>
    </xf>
    <xf numFmtId="0" fontId="71" fillId="0" borderId="0"/>
    <xf numFmtId="0" fontId="74" fillId="0" borderId="0" applyNumberFormat="0" applyFill="0" applyBorder="0" applyProtection="0">
      <alignment vertical="top" wrapText="1"/>
    </xf>
    <xf numFmtId="0" fontId="82" fillId="0" borderId="0" applyNumberFormat="0" applyFill="0" applyBorder="0" applyAlignment="0" applyProtection="0"/>
    <xf numFmtId="0" fontId="82" fillId="0" borderId="0" applyNumberFormat="0" applyFill="0" applyBorder="0" applyAlignment="0" applyProtection="0"/>
    <xf numFmtId="9" fontId="1" fillId="0" borderId="0" applyFont="0" applyFill="0" applyBorder="0" applyAlignment="0" applyProtection="0"/>
    <xf numFmtId="44" fontId="37" fillId="0" borderId="0" applyFont="0" applyFill="0" applyBorder="0" applyAlignment="0" applyProtection="0"/>
    <xf numFmtId="0" fontId="1" fillId="0" borderId="0"/>
    <xf numFmtId="0" fontId="23" fillId="54" borderId="77" applyNumberFormat="0" applyAlignment="0" applyProtection="0"/>
    <xf numFmtId="0" fontId="2" fillId="57" borderId="74" applyNumberFormat="0" applyFont="0" applyAlignment="0" applyProtection="0"/>
    <xf numFmtId="0" fontId="23" fillId="54" borderId="57" applyNumberFormat="0" applyAlignment="0" applyProtection="0"/>
    <xf numFmtId="0" fontId="23" fillId="54" borderId="57" applyNumberFormat="0" applyAlignment="0" applyProtection="0"/>
    <xf numFmtId="0" fontId="23" fillId="54" borderId="53" applyNumberFormat="0" applyAlignment="0" applyProtection="0"/>
    <xf numFmtId="0" fontId="30" fillId="41" borderId="53" applyNumberFormat="0" applyAlignment="0" applyProtection="0"/>
    <xf numFmtId="0" fontId="35" fillId="0" borderId="80" applyNumberFormat="0" applyFill="0" applyAlignment="0" applyProtection="0"/>
    <xf numFmtId="0" fontId="33" fillId="54" borderId="79" applyNumberFormat="0" applyAlignment="0" applyProtection="0"/>
    <xf numFmtId="0" fontId="2" fillId="57" borderId="78" applyNumberFormat="0" applyFont="0" applyAlignment="0" applyProtection="0"/>
    <xf numFmtId="0" fontId="2" fillId="57" borderId="54" applyNumberFormat="0" applyFont="0" applyAlignment="0" applyProtection="0"/>
    <xf numFmtId="0" fontId="33" fillId="54" borderId="55" applyNumberFormat="0" applyAlignment="0" applyProtection="0"/>
    <xf numFmtId="0" fontId="35" fillId="0" borderId="56" applyNumberFormat="0" applyFill="0" applyAlignment="0" applyProtection="0"/>
    <xf numFmtId="0" fontId="23" fillId="54" borderId="73" applyNumberFormat="0" applyAlignment="0" applyProtection="0"/>
    <xf numFmtId="0" fontId="23" fillId="54" borderId="73" applyNumberFormat="0" applyAlignment="0" applyProtection="0"/>
    <xf numFmtId="0" fontId="2" fillId="57" borderId="98" applyNumberFormat="0" applyFont="0" applyAlignment="0" applyProtection="0"/>
    <xf numFmtId="0" fontId="30" fillId="41" borderId="77" applyNumberFormat="0" applyAlignment="0" applyProtection="0"/>
    <xf numFmtId="0" fontId="30" fillId="41" borderId="77" applyNumberFormat="0" applyAlignment="0" applyProtection="0"/>
    <xf numFmtId="0" fontId="2" fillId="57" borderId="78" applyNumberFormat="0" applyFont="0" applyAlignment="0" applyProtection="0"/>
    <xf numFmtId="0" fontId="2" fillId="57" borderId="54" applyNumberFormat="0" applyFont="0" applyAlignment="0" applyProtection="0"/>
    <xf numFmtId="0" fontId="30" fillId="41" borderId="77" applyNumberFormat="0" applyAlignment="0" applyProtection="0"/>
    <xf numFmtId="0" fontId="23" fillId="54" borderId="77" applyNumberFormat="0" applyAlignment="0" applyProtection="0"/>
    <xf numFmtId="0" fontId="23" fillId="54" borderId="53" applyNumberFormat="0" applyAlignment="0" applyProtection="0"/>
    <xf numFmtId="0" fontId="30" fillId="41" borderId="53" applyNumberFormat="0" applyAlignment="0" applyProtection="0"/>
    <xf numFmtId="0" fontId="30" fillId="41" borderId="53" applyNumberFormat="0" applyAlignment="0" applyProtection="0"/>
    <xf numFmtId="0" fontId="23" fillId="54" borderId="53" applyNumberFormat="0" applyAlignment="0" applyProtection="0"/>
    <xf numFmtId="0" fontId="2" fillId="57" borderId="54" applyNumberFormat="0" applyFont="0" applyAlignment="0" applyProtection="0"/>
    <xf numFmtId="0" fontId="33" fillId="54" borderId="55" applyNumberFormat="0" applyAlignment="0" applyProtection="0"/>
    <xf numFmtId="0" fontId="2" fillId="57" borderId="54" applyNumberFormat="0" applyFont="0" applyAlignment="0" applyProtection="0"/>
    <xf numFmtId="0" fontId="33" fillId="54" borderId="55"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10" fontId="48" fillId="61" borderId="64" applyNumberFormat="0" applyBorder="0" applyAlignment="0" applyProtection="0"/>
    <xf numFmtId="0" fontId="23" fillId="54" borderId="73" applyNumberFormat="0" applyAlignment="0" applyProtection="0"/>
    <xf numFmtId="0" fontId="30" fillId="41" borderId="67" applyNumberFormat="0" applyAlignment="0" applyProtection="0"/>
    <xf numFmtId="0" fontId="30" fillId="41" borderId="57" applyNumberFormat="0" applyAlignment="0" applyProtection="0"/>
    <xf numFmtId="0" fontId="30" fillId="41" borderId="67" applyNumberFormat="0" applyAlignment="0" applyProtection="0"/>
    <xf numFmtId="10" fontId="48" fillId="61" borderId="71" applyNumberFormat="0" applyBorder="0" applyAlignment="0" applyProtection="0"/>
    <xf numFmtId="0" fontId="23" fillId="54" borderId="73" applyNumberFormat="0" applyAlignment="0" applyProtection="0"/>
    <xf numFmtId="0" fontId="23" fillId="54" borderId="57" applyNumberFormat="0" applyAlignment="0" applyProtection="0"/>
    <xf numFmtId="0" fontId="30" fillId="41" borderId="57" applyNumberFormat="0" applyAlignment="0" applyProtection="0"/>
    <xf numFmtId="0" fontId="23" fillId="54" borderId="73" applyNumberFormat="0" applyAlignment="0" applyProtection="0"/>
    <xf numFmtId="0" fontId="23" fillId="54" borderId="53" applyNumberFormat="0" applyAlignment="0" applyProtection="0"/>
    <xf numFmtId="0" fontId="33" fillId="54" borderId="75" applyNumberFormat="0" applyAlignment="0" applyProtection="0"/>
    <xf numFmtId="10" fontId="48" fillId="61" borderId="71" applyNumberFormat="0" applyBorder="0" applyAlignment="0" applyProtection="0"/>
    <xf numFmtId="0" fontId="35" fillId="0" borderId="60" applyNumberFormat="0" applyFill="0" applyAlignment="0" applyProtection="0"/>
    <xf numFmtId="0" fontId="33" fillId="54" borderId="59" applyNumberFormat="0" applyAlignment="0" applyProtection="0"/>
    <xf numFmtId="0" fontId="2" fillId="57" borderId="58" applyNumberFormat="0" applyFont="0" applyAlignment="0" applyProtection="0"/>
    <xf numFmtId="0" fontId="30" fillId="41" borderId="67" applyNumberFormat="0" applyAlignment="0" applyProtection="0"/>
    <xf numFmtId="0" fontId="33" fillId="54" borderId="69" applyNumberFormat="0" applyAlignment="0" applyProtection="0"/>
    <xf numFmtId="0" fontId="35" fillId="0" borderId="70" applyNumberFormat="0" applyFill="0" applyAlignment="0" applyProtection="0"/>
    <xf numFmtId="0" fontId="33" fillId="54" borderId="69" applyNumberFormat="0" applyAlignment="0" applyProtection="0"/>
    <xf numFmtId="0" fontId="2" fillId="57" borderId="68" applyNumberFormat="0" applyFont="0" applyAlignment="0" applyProtection="0"/>
    <xf numFmtId="0" fontId="35" fillId="0" borderId="76" applyNumberFormat="0" applyFill="0" applyAlignment="0" applyProtection="0"/>
    <xf numFmtId="0" fontId="33" fillId="54" borderId="75" applyNumberFormat="0" applyAlignment="0" applyProtection="0"/>
    <xf numFmtId="0" fontId="2" fillId="57" borderId="74" applyNumberFormat="0" applyFont="0" applyAlignment="0" applyProtection="0"/>
    <xf numFmtId="0" fontId="2" fillId="57" borderId="74" applyNumberFormat="0" applyFont="0" applyAlignment="0" applyProtection="0"/>
    <xf numFmtId="0" fontId="33" fillId="54" borderId="75" applyNumberFormat="0" applyAlignment="0" applyProtection="0"/>
    <xf numFmtId="0" fontId="2" fillId="57" borderId="54" applyNumberFormat="0" applyFont="0" applyAlignment="0" applyProtection="0"/>
    <xf numFmtId="0" fontId="33" fillId="54" borderId="55" applyNumberFormat="0" applyAlignment="0" applyProtection="0"/>
    <xf numFmtId="0" fontId="35" fillId="0" borderId="56" applyNumberFormat="0" applyFill="0" applyAlignment="0" applyProtection="0"/>
    <xf numFmtId="10" fontId="48" fillId="61" borderId="71" applyNumberFormat="0" applyBorder="0" applyAlignment="0" applyProtection="0"/>
    <xf numFmtId="0" fontId="38" fillId="0" borderId="65">
      <alignment horizontal="left" vertical="center"/>
    </xf>
    <xf numFmtId="0" fontId="38" fillId="0" borderId="65">
      <alignment horizontal="left" vertical="center"/>
    </xf>
    <xf numFmtId="10" fontId="48" fillId="61" borderId="71" applyNumberFormat="0" applyBorder="0" applyAlignment="0" applyProtection="0"/>
    <xf numFmtId="10" fontId="48" fillId="61" borderId="71" applyNumberFormat="0" applyBorder="0" applyAlignment="0" applyProtection="0"/>
    <xf numFmtId="0" fontId="2" fillId="57" borderId="58" applyNumberFormat="0" applyFont="0" applyAlignment="0" applyProtection="0"/>
    <xf numFmtId="0" fontId="33" fillId="54" borderId="59" applyNumberFormat="0" applyAlignment="0" applyProtection="0"/>
    <xf numFmtId="0" fontId="35" fillId="0" borderId="60" applyNumberFormat="0" applyFill="0" applyAlignment="0" applyProtection="0"/>
    <xf numFmtId="0" fontId="38" fillId="0" borderId="36">
      <alignment horizontal="left" vertical="center"/>
    </xf>
    <xf numFmtId="0" fontId="38" fillId="0" borderId="36">
      <alignment horizontal="left" vertical="center"/>
    </xf>
    <xf numFmtId="10" fontId="48" fillId="61" borderId="62" applyNumberFormat="0" applyBorder="0" applyAlignment="0" applyProtection="0"/>
    <xf numFmtId="0" fontId="23" fillId="54" borderId="67" applyNumberFormat="0" applyAlignment="0" applyProtection="0"/>
    <xf numFmtId="0" fontId="23" fillId="54" borderId="67" applyNumberFormat="0" applyAlignment="0" applyProtection="0"/>
    <xf numFmtId="0" fontId="30" fillId="41" borderId="73" applyNumberFormat="0" applyAlignment="0" applyProtection="0"/>
    <xf numFmtId="0" fontId="30" fillId="41" borderId="73" applyNumberFormat="0" applyAlignment="0" applyProtection="0"/>
    <xf numFmtId="0" fontId="2" fillId="57" borderId="74" applyNumberFormat="0" applyFont="0" applyAlignment="0" applyProtection="0"/>
    <xf numFmtId="10" fontId="48" fillId="61" borderId="71" applyNumberFormat="0" applyBorder="0" applyAlignment="0" applyProtection="0"/>
    <xf numFmtId="0" fontId="38" fillId="0" borderId="65">
      <alignment horizontal="left" vertical="center"/>
    </xf>
    <xf numFmtId="0" fontId="2" fillId="57" borderId="68" applyNumberFormat="0" applyFont="0" applyAlignment="0" applyProtection="0"/>
    <xf numFmtId="0" fontId="2" fillId="57" borderId="54" applyNumberFormat="0" applyFont="0" applyAlignment="0" applyProtection="0"/>
    <xf numFmtId="0" fontId="2" fillId="57" borderId="68" applyNumberFormat="0" applyFont="0" applyAlignment="0" applyProtection="0"/>
    <xf numFmtId="0" fontId="2" fillId="57" borderId="58" applyNumberFormat="0" applyFont="0" applyAlignment="0" applyProtection="0"/>
    <xf numFmtId="0" fontId="33" fillId="54" borderId="59" applyNumberFormat="0" applyAlignment="0" applyProtection="0"/>
    <xf numFmtId="0" fontId="2" fillId="57" borderId="58" applyNumberFormat="0" applyFont="0" applyAlignment="0" applyProtection="0"/>
    <xf numFmtId="10" fontId="48" fillId="61" borderId="35" applyNumberFormat="0" applyBorder="0" applyAlignment="0" applyProtection="0"/>
    <xf numFmtId="0" fontId="30" fillId="41" borderId="57" applyNumberFormat="0" applyAlignment="0" applyProtection="0"/>
    <xf numFmtId="10" fontId="48" fillId="61" borderId="35" applyNumberFormat="0" applyBorder="0" applyAlignment="0" applyProtection="0"/>
    <xf numFmtId="0" fontId="38" fillId="0" borderId="65">
      <alignment horizontal="left" vertical="center"/>
    </xf>
    <xf numFmtId="0" fontId="2" fillId="57" borderId="68" applyNumberFormat="0" applyFont="0" applyAlignment="0" applyProtection="0"/>
    <xf numFmtId="0" fontId="38" fillId="0" borderId="65">
      <alignment horizontal="left" vertical="center"/>
    </xf>
    <xf numFmtId="0" fontId="30" fillId="41" borderId="53" applyNumberFormat="0" applyAlignment="0" applyProtection="0"/>
    <xf numFmtId="0" fontId="2" fillId="57" borderId="58" applyNumberFormat="0" applyFont="0" applyAlignment="0" applyProtection="0"/>
    <xf numFmtId="0" fontId="23" fillId="54" borderId="73" applyNumberFormat="0" applyAlignment="0" applyProtection="0"/>
    <xf numFmtId="10" fontId="48" fillId="61" borderId="62"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23" fillId="54" borderId="73" applyNumberFormat="0" applyAlignment="0" applyProtection="0"/>
    <xf numFmtId="0" fontId="38" fillId="0" borderId="61">
      <alignment horizontal="left" vertical="center"/>
    </xf>
    <xf numFmtId="0" fontId="38" fillId="0" borderId="61">
      <alignment horizontal="left" vertical="center"/>
    </xf>
    <xf numFmtId="0" fontId="2" fillId="57" borderId="68" applyNumberFormat="0" applyFont="0" applyAlignment="0" applyProtection="0"/>
    <xf numFmtId="0" fontId="2" fillId="57" borderId="68" applyNumberFormat="0" applyFont="0" applyAlignment="0" applyProtection="0"/>
    <xf numFmtId="0" fontId="2" fillId="57" borderId="74" applyNumberFormat="0" applyFont="0" applyAlignment="0" applyProtection="0"/>
    <xf numFmtId="10" fontId="48" fillId="61" borderId="71" applyNumberFormat="0" applyBorder="0" applyAlignment="0" applyProtection="0"/>
    <xf numFmtId="10" fontId="48" fillId="61" borderId="71" applyNumberFormat="0" applyBorder="0" applyAlignment="0" applyProtection="0"/>
    <xf numFmtId="0" fontId="38" fillId="0" borderId="65">
      <alignment horizontal="left" vertical="center"/>
    </xf>
    <xf numFmtId="10" fontId="48" fillId="61" borderId="71" applyNumberFormat="0" applyBorder="0" applyAlignment="0" applyProtection="0"/>
    <xf numFmtId="10" fontId="48" fillId="61" borderId="71" applyNumberFormat="0" applyBorder="0" applyAlignment="0" applyProtection="0"/>
    <xf numFmtId="10" fontId="48" fillId="61" borderId="71" applyNumberFormat="0" applyBorder="0" applyAlignment="0" applyProtection="0"/>
    <xf numFmtId="0" fontId="2" fillId="57" borderId="74" applyNumberFormat="0" applyFont="0" applyAlignment="0" applyProtection="0"/>
    <xf numFmtId="0" fontId="23" fillId="54" borderId="67" applyNumberFormat="0" applyAlignment="0" applyProtection="0"/>
    <xf numFmtId="0" fontId="38" fillId="0" borderId="65">
      <alignment horizontal="left" vertical="center"/>
    </xf>
    <xf numFmtId="0" fontId="30" fillId="41" borderId="67" applyNumberFormat="0" applyAlignment="0" applyProtection="0"/>
    <xf numFmtId="0" fontId="30" fillId="41" borderId="67" applyNumberFormat="0" applyAlignment="0" applyProtection="0"/>
    <xf numFmtId="0" fontId="23" fillId="54" borderId="67" applyNumberFormat="0" applyAlignment="0" applyProtection="0"/>
    <xf numFmtId="0" fontId="2" fillId="57" borderId="58" applyNumberFormat="0" applyFont="0" applyAlignment="0" applyProtection="0"/>
    <xf numFmtId="10" fontId="48" fillId="61" borderId="71" applyNumberFormat="0" applyBorder="0" applyAlignment="0" applyProtection="0"/>
    <xf numFmtId="0" fontId="30" fillId="41" borderId="57" applyNumberFormat="0" applyAlignment="0" applyProtection="0"/>
    <xf numFmtId="0" fontId="23" fillId="54" borderId="57" applyNumberFormat="0" applyAlignment="0" applyProtection="0"/>
    <xf numFmtId="10" fontId="48" fillId="61" borderId="64" applyNumberFormat="0" applyBorder="0" applyAlignment="0" applyProtection="0"/>
    <xf numFmtId="0" fontId="33" fillId="54" borderId="69" applyNumberFormat="0" applyAlignment="0" applyProtection="0"/>
    <xf numFmtId="0" fontId="35" fillId="0" borderId="76" applyNumberFormat="0" applyFill="0" applyAlignment="0" applyProtection="0"/>
    <xf numFmtId="0" fontId="23" fillId="54" borderId="67" applyNumberFormat="0" applyAlignment="0" applyProtection="0"/>
    <xf numFmtId="0" fontId="38" fillId="0" borderId="65">
      <alignment horizontal="left" vertical="center"/>
    </xf>
    <xf numFmtId="0" fontId="30" fillId="41" borderId="73" applyNumberFormat="0" applyAlignment="0" applyProtection="0"/>
    <xf numFmtId="0" fontId="30" fillId="41" borderId="73" applyNumberFormat="0" applyAlignment="0" applyProtection="0"/>
    <xf numFmtId="0" fontId="23" fillId="54" borderId="57" applyNumberFormat="0" applyAlignment="0" applyProtection="0"/>
    <xf numFmtId="0" fontId="30" fillId="41" borderId="57" applyNumberFormat="0" applyAlignment="0" applyProtection="0"/>
    <xf numFmtId="0" fontId="30" fillId="41" borderId="57" applyNumberFormat="0" applyAlignment="0" applyProtection="0"/>
    <xf numFmtId="0" fontId="23" fillId="54" borderId="57" applyNumberFormat="0" applyAlignment="0" applyProtection="0"/>
    <xf numFmtId="0" fontId="2" fillId="57" borderId="58" applyNumberFormat="0" applyFont="0" applyAlignment="0" applyProtection="0"/>
    <xf numFmtId="0" fontId="33" fillId="54" borderId="59" applyNumberFormat="0" applyAlignment="0" applyProtection="0"/>
    <xf numFmtId="0" fontId="2" fillId="57" borderId="58" applyNumberFormat="0" applyFont="0" applyAlignment="0" applyProtection="0"/>
    <xf numFmtId="0" fontId="33" fillId="54" borderId="59"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0" fontId="30" fillId="41" borderId="73" applyNumberFormat="0" applyAlignment="0" applyProtection="0"/>
    <xf numFmtId="0" fontId="33" fillId="54" borderId="59" applyNumberFormat="0" applyAlignment="0" applyProtection="0"/>
    <xf numFmtId="10" fontId="48" fillId="61" borderId="62" applyNumberFormat="0" applyBorder="0" applyAlignment="0" applyProtection="0"/>
    <xf numFmtId="10" fontId="48" fillId="61" borderId="62"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61">
      <alignment horizontal="left" vertical="center"/>
    </xf>
    <xf numFmtId="0" fontId="38" fillId="0" borderId="61">
      <alignment horizontal="left" vertical="center"/>
    </xf>
    <xf numFmtId="10" fontId="48" fillId="61" borderId="35" applyNumberFormat="0" applyBorder="0" applyAlignment="0" applyProtection="0"/>
    <xf numFmtId="10" fontId="48" fillId="61" borderId="35" applyNumberFormat="0" applyBorder="0" applyAlignment="0" applyProtection="0"/>
    <xf numFmtId="0" fontId="73" fillId="63" borderId="63" applyFont="0" applyBorder="0">
      <alignment vertical="center"/>
    </xf>
    <xf numFmtId="0" fontId="1" fillId="64" borderId="62" applyFont="0" applyBorder="0" applyAlignment="0">
      <alignment vertical="center"/>
    </xf>
    <xf numFmtId="0" fontId="35" fillId="0" borderId="70" applyNumberFormat="0" applyFill="0" applyAlignment="0" applyProtection="0"/>
    <xf numFmtId="0" fontId="23" fillId="54" borderId="67" applyNumberFormat="0" applyAlignment="0" applyProtection="0"/>
    <xf numFmtId="0" fontId="23" fillId="54" borderId="53" applyNumberFormat="0" applyAlignment="0" applyProtection="0"/>
    <xf numFmtId="0" fontId="30" fillId="41" borderId="53" applyNumberFormat="0" applyAlignment="0" applyProtection="0"/>
    <xf numFmtId="0" fontId="30" fillId="41" borderId="53" applyNumberFormat="0" applyAlignment="0" applyProtection="0"/>
    <xf numFmtId="0" fontId="23" fillId="54" borderId="53" applyNumberFormat="0" applyAlignment="0" applyProtection="0"/>
    <xf numFmtId="0" fontId="2" fillId="57" borderId="54" applyNumberFormat="0" applyFont="0" applyAlignment="0" applyProtection="0"/>
    <xf numFmtId="0" fontId="33" fillId="54" borderId="55" applyNumberFormat="0" applyAlignment="0" applyProtection="0"/>
    <xf numFmtId="0" fontId="2" fillId="57" borderId="54" applyNumberFormat="0" applyFont="0" applyAlignment="0" applyProtection="0"/>
    <xf numFmtId="0" fontId="33" fillId="54" borderId="55" applyNumberFormat="0" applyAlignment="0" applyProtection="0"/>
    <xf numFmtId="10" fontId="48" fillId="61" borderId="64" applyNumberFormat="0" applyBorder="0" applyAlignment="0" applyProtection="0"/>
    <xf numFmtId="10" fontId="48" fillId="61" borderId="64" applyNumberFormat="0" applyBorder="0" applyAlignment="0" applyProtection="0"/>
    <xf numFmtId="0" fontId="30" fillId="41" borderId="73" applyNumberFormat="0" applyAlignment="0" applyProtection="0"/>
    <xf numFmtId="0" fontId="23" fillId="54" borderId="73" applyNumberFormat="0" applyAlignment="0" applyProtection="0"/>
    <xf numFmtId="0" fontId="73" fillId="63" borderId="66" applyFont="0" applyBorder="0">
      <alignment vertical="center"/>
    </xf>
    <xf numFmtId="0" fontId="1" fillId="64" borderId="64" applyFont="0" applyBorder="0" applyAlignment="0">
      <alignment vertical="center"/>
    </xf>
    <xf numFmtId="0" fontId="33" fillId="54" borderId="69" applyNumberFormat="0" applyAlignment="0" applyProtection="0"/>
    <xf numFmtId="0" fontId="33" fillId="54" borderId="69" applyNumberFormat="0" applyAlignment="0" applyProtection="0"/>
    <xf numFmtId="0" fontId="2" fillId="57" borderId="68" applyNumberFormat="0" applyFont="0" applyAlignment="0" applyProtection="0"/>
    <xf numFmtId="0" fontId="33" fillId="54" borderId="69" applyNumberFormat="0" applyAlignment="0" applyProtection="0"/>
    <xf numFmtId="10" fontId="48" fillId="61" borderId="71" applyNumberFormat="0" applyBorder="0" applyAlignment="0" applyProtection="0"/>
    <xf numFmtId="10" fontId="48" fillId="61" borderId="71" applyNumberFormat="0" applyBorder="0" applyAlignment="0" applyProtection="0"/>
    <xf numFmtId="0" fontId="2" fillId="57" borderId="74" applyNumberFormat="0" applyFont="0" applyAlignment="0" applyProtection="0"/>
    <xf numFmtId="0" fontId="73" fillId="63" borderId="72" applyFont="0" applyBorder="0">
      <alignment vertical="center"/>
    </xf>
    <xf numFmtId="0" fontId="1" fillId="64" borderId="71" applyFont="0" applyBorder="0" applyAlignment="0">
      <alignment vertical="center"/>
    </xf>
    <xf numFmtId="0" fontId="33" fillId="54" borderId="75" applyNumberFormat="0" applyAlignment="0" applyProtection="0"/>
    <xf numFmtId="0" fontId="2" fillId="57" borderId="74" applyNumberFormat="0" applyFont="0" applyAlignment="0" applyProtection="0"/>
    <xf numFmtId="0" fontId="33" fillId="54" borderId="75" applyNumberFormat="0" applyAlignment="0" applyProtection="0"/>
    <xf numFmtId="0" fontId="2" fillId="57" borderId="68" applyNumberFormat="0" applyFont="0" applyAlignment="0" applyProtection="0"/>
    <xf numFmtId="0" fontId="30" fillId="41" borderId="67" applyNumberFormat="0" applyAlignment="0" applyProtection="0"/>
    <xf numFmtId="10" fontId="48" fillId="61" borderId="71" applyNumberFormat="0" applyBorder="0" applyAlignment="0" applyProtection="0"/>
    <xf numFmtId="10" fontId="48" fillId="61" borderId="71" applyNumberFormat="0" applyBorder="0" applyAlignment="0" applyProtection="0"/>
    <xf numFmtId="0" fontId="38" fillId="0" borderId="65">
      <alignment horizontal="left" vertical="center"/>
    </xf>
    <xf numFmtId="0" fontId="38" fillId="0" borderId="65">
      <alignment horizontal="left" vertical="center"/>
    </xf>
    <xf numFmtId="10" fontId="48" fillId="61" borderId="71" applyNumberFormat="0" applyBorder="0" applyAlignment="0" applyProtection="0"/>
    <xf numFmtId="10" fontId="48" fillId="61" borderId="71" applyNumberFormat="0" applyBorder="0" applyAlignment="0" applyProtection="0"/>
    <xf numFmtId="0" fontId="33" fillId="54" borderId="75" applyNumberFormat="0" applyAlignment="0" applyProtection="0"/>
    <xf numFmtId="0" fontId="38" fillId="0" borderId="65">
      <alignment horizontal="left" vertical="center"/>
    </xf>
    <xf numFmtId="0" fontId="38" fillId="0" borderId="65">
      <alignment horizontal="left" vertical="center"/>
    </xf>
    <xf numFmtId="10" fontId="48" fillId="61" borderId="71" applyNumberFormat="0" applyBorder="0" applyAlignment="0" applyProtection="0"/>
    <xf numFmtId="10" fontId="48" fillId="61" borderId="71" applyNumberFormat="0" applyBorder="0" applyAlignment="0" applyProtection="0"/>
    <xf numFmtId="0" fontId="73" fillId="63" borderId="72" applyFont="0" applyBorder="0">
      <alignment vertical="center"/>
    </xf>
    <xf numFmtId="0" fontId="1" fillId="64" borderId="71" applyFont="0" applyBorder="0" applyAlignment="0">
      <alignment vertical="center"/>
    </xf>
    <xf numFmtId="0" fontId="23" fillId="54" borderId="77" applyNumberFormat="0" applyAlignment="0" applyProtection="0"/>
    <xf numFmtId="0" fontId="2" fillId="57" borderId="78" applyNumberFormat="0" applyFont="0" applyAlignment="0" applyProtection="0"/>
    <xf numFmtId="0" fontId="33" fillId="54" borderId="79" applyNumberFormat="0" applyAlignment="0" applyProtection="0"/>
    <xf numFmtId="0" fontId="2" fillId="57" borderId="78" applyNumberFormat="0" applyFont="0" applyAlignment="0" applyProtection="0"/>
    <xf numFmtId="0" fontId="33" fillId="54" borderId="79" applyNumberFormat="0" applyAlignment="0" applyProtection="0"/>
    <xf numFmtId="10" fontId="48" fillId="61" borderId="88" applyNumberFormat="0" applyBorder="0" applyAlignment="0" applyProtection="0"/>
    <xf numFmtId="0" fontId="23" fillId="54" borderId="97" applyNumberFormat="0" applyAlignment="0" applyProtection="0"/>
    <xf numFmtId="0" fontId="30" fillId="41" borderId="91" applyNumberFormat="0" applyAlignment="0" applyProtection="0"/>
    <xf numFmtId="0" fontId="30" fillId="41" borderId="73" applyNumberFormat="0" applyAlignment="0" applyProtection="0"/>
    <xf numFmtId="0" fontId="30" fillId="41" borderId="91" applyNumberFormat="0" applyAlignment="0" applyProtection="0"/>
    <xf numFmtId="10" fontId="48" fillId="61" borderId="95" applyNumberFormat="0" applyBorder="0" applyAlignment="0" applyProtection="0"/>
    <xf numFmtId="0" fontId="23" fillId="54" borderId="97" applyNumberFormat="0" applyAlignment="0" applyProtection="0"/>
    <xf numFmtId="0" fontId="23" fillId="54" borderId="73" applyNumberFormat="0" applyAlignment="0" applyProtection="0"/>
    <xf numFmtId="0" fontId="30" fillId="41" borderId="73" applyNumberFormat="0" applyAlignment="0" applyProtection="0"/>
    <xf numFmtId="0" fontId="23" fillId="54" borderId="97" applyNumberFormat="0" applyAlignment="0" applyProtection="0"/>
    <xf numFmtId="0" fontId="23" fillId="54" borderId="84" applyNumberFormat="0" applyAlignment="0" applyProtection="0"/>
    <xf numFmtId="0" fontId="33" fillId="54" borderId="99" applyNumberFormat="0" applyAlignment="0" applyProtection="0"/>
    <xf numFmtId="10" fontId="48" fillId="61" borderId="95" applyNumberFormat="0" applyBorder="0" applyAlignment="0" applyProtection="0"/>
    <xf numFmtId="0" fontId="35" fillId="0" borderId="76" applyNumberFormat="0" applyFill="0" applyAlignment="0" applyProtection="0"/>
    <xf numFmtId="0" fontId="33" fillId="54" borderId="75" applyNumberFormat="0" applyAlignment="0" applyProtection="0"/>
    <xf numFmtId="0" fontId="2" fillId="57" borderId="74" applyNumberFormat="0" applyFont="0" applyAlignment="0" applyProtection="0"/>
    <xf numFmtId="0" fontId="30" fillId="41" borderId="91" applyNumberFormat="0" applyAlignment="0" applyProtection="0"/>
    <xf numFmtId="0" fontId="33" fillId="54" borderId="93" applyNumberFormat="0" applyAlignment="0" applyProtection="0"/>
    <xf numFmtId="0" fontId="35" fillId="0" borderId="94" applyNumberFormat="0" applyFill="0" applyAlignment="0" applyProtection="0"/>
    <xf numFmtId="0" fontId="33" fillId="54" borderId="93" applyNumberFormat="0" applyAlignment="0" applyProtection="0"/>
    <xf numFmtId="0" fontId="2" fillId="57" borderId="92" applyNumberFormat="0" applyFont="0" applyAlignment="0" applyProtection="0"/>
    <xf numFmtId="0" fontId="35" fillId="0" borderId="100" applyNumberFormat="0" applyFill="0" applyAlignment="0" applyProtection="0"/>
    <xf numFmtId="0" fontId="33" fillId="54" borderId="99" applyNumberFormat="0" applyAlignment="0" applyProtection="0"/>
    <xf numFmtId="0" fontId="2" fillId="57" borderId="98" applyNumberFormat="0" applyFont="0" applyAlignment="0" applyProtection="0"/>
    <xf numFmtId="0" fontId="2" fillId="57" borderId="98" applyNumberFormat="0" applyFont="0" applyAlignment="0" applyProtection="0"/>
    <xf numFmtId="0" fontId="33" fillId="54" borderId="99" applyNumberFormat="0" applyAlignment="0" applyProtection="0"/>
    <xf numFmtId="0" fontId="2" fillId="57" borderId="85" applyNumberFormat="0" applyFont="0" applyAlignment="0" applyProtection="0"/>
    <xf numFmtId="0" fontId="33" fillId="54" borderId="86" applyNumberFormat="0" applyAlignment="0" applyProtection="0"/>
    <xf numFmtId="0" fontId="35" fillId="0" borderId="87" applyNumberFormat="0" applyFill="0" applyAlignment="0" applyProtection="0"/>
    <xf numFmtId="10" fontId="48" fillId="61" borderId="95" applyNumberFormat="0" applyBorder="0" applyAlignment="0" applyProtection="0"/>
    <xf numFmtId="0" fontId="38" fillId="0" borderId="89">
      <alignment horizontal="left" vertical="center"/>
    </xf>
    <xf numFmtId="0" fontId="38" fillId="0" borderId="89">
      <alignment horizontal="left" vertical="center"/>
    </xf>
    <xf numFmtId="10" fontId="48" fillId="61" borderId="95" applyNumberFormat="0" applyBorder="0" applyAlignment="0" applyProtection="0"/>
    <xf numFmtId="10" fontId="48" fillId="61" borderId="95" applyNumberFormat="0" applyBorder="0" applyAlignment="0" applyProtection="0"/>
    <xf numFmtId="0" fontId="2" fillId="57" borderId="74" applyNumberFormat="0" applyFont="0" applyAlignment="0" applyProtection="0"/>
    <xf numFmtId="0" fontId="33" fillId="54" borderId="75" applyNumberFormat="0" applyAlignment="0" applyProtection="0"/>
    <xf numFmtId="0" fontId="35" fillId="0" borderId="76" applyNumberFormat="0" applyFill="0" applyAlignment="0" applyProtection="0"/>
    <xf numFmtId="0" fontId="38" fillId="0" borderId="65">
      <alignment horizontal="left" vertical="center"/>
    </xf>
    <xf numFmtId="0" fontId="38" fillId="0" borderId="65">
      <alignment horizontal="left" vertical="center"/>
    </xf>
    <xf numFmtId="10" fontId="48" fillId="61" borderId="82" applyNumberFormat="0" applyBorder="0" applyAlignment="0" applyProtection="0"/>
    <xf numFmtId="0" fontId="23" fillId="54" borderId="91" applyNumberFormat="0" applyAlignment="0" applyProtection="0"/>
    <xf numFmtId="0" fontId="23" fillId="54" borderId="91" applyNumberFormat="0" applyAlignment="0" applyProtection="0"/>
    <xf numFmtId="0" fontId="30" fillId="41" borderId="97" applyNumberFormat="0" applyAlignment="0" applyProtection="0"/>
    <xf numFmtId="0" fontId="30" fillId="41" borderId="97" applyNumberFormat="0" applyAlignment="0" applyProtection="0"/>
    <xf numFmtId="0" fontId="2" fillId="57" borderId="98" applyNumberFormat="0" applyFont="0" applyAlignment="0" applyProtection="0"/>
    <xf numFmtId="10" fontId="48" fillId="61" borderId="95" applyNumberFormat="0" applyBorder="0" applyAlignment="0" applyProtection="0"/>
    <xf numFmtId="0" fontId="38" fillId="0" borderId="89">
      <alignment horizontal="left" vertical="center"/>
    </xf>
    <xf numFmtId="0" fontId="2" fillId="57" borderId="92" applyNumberFormat="0" applyFont="0" applyAlignment="0" applyProtection="0"/>
    <xf numFmtId="0" fontId="2" fillId="57" borderId="85" applyNumberFormat="0" applyFont="0" applyAlignment="0" applyProtection="0"/>
    <xf numFmtId="0" fontId="2" fillId="57" borderId="92" applyNumberFormat="0" applyFont="0" applyAlignment="0" applyProtection="0"/>
    <xf numFmtId="0" fontId="2" fillId="57" borderId="74" applyNumberFormat="0" applyFont="0" applyAlignment="0" applyProtection="0"/>
    <xf numFmtId="0" fontId="33" fillId="54" borderId="75" applyNumberFormat="0" applyAlignment="0" applyProtection="0"/>
    <xf numFmtId="0" fontId="2" fillId="57" borderId="74" applyNumberFormat="0" applyFont="0" applyAlignment="0" applyProtection="0"/>
    <xf numFmtId="10" fontId="48" fillId="61" borderId="71" applyNumberFormat="0" applyBorder="0" applyAlignment="0" applyProtection="0"/>
    <xf numFmtId="0" fontId="30" fillId="41" borderId="73" applyNumberFormat="0" applyAlignment="0" applyProtection="0"/>
    <xf numFmtId="10" fontId="48" fillId="61" borderId="71" applyNumberFormat="0" applyBorder="0" applyAlignment="0" applyProtection="0"/>
    <xf numFmtId="0" fontId="38" fillId="0" borderId="89">
      <alignment horizontal="left" vertical="center"/>
    </xf>
    <xf numFmtId="0" fontId="2" fillId="57" borderId="92" applyNumberFormat="0" applyFont="0" applyAlignment="0" applyProtection="0"/>
    <xf numFmtId="0" fontId="38" fillId="0" borderId="89">
      <alignment horizontal="left" vertical="center"/>
    </xf>
    <xf numFmtId="0" fontId="30" fillId="41" borderId="84" applyNumberFormat="0" applyAlignment="0" applyProtection="0"/>
    <xf numFmtId="0" fontId="2" fillId="57" borderId="74" applyNumberFormat="0" applyFont="0" applyAlignment="0" applyProtection="0"/>
    <xf numFmtId="0" fontId="23" fillId="54" borderId="97" applyNumberFormat="0" applyAlignment="0" applyProtection="0"/>
    <xf numFmtId="10" fontId="48" fillId="61" borderId="82" applyNumberFormat="0" applyBorder="0" applyAlignment="0" applyProtection="0"/>
    <xf numFmtId="10" fontId="48" fillId="61" borderId="71" applyNumberFormat="0" applyBorder="0" applyAlignment="0" applyProtection="0"/>
    <xf numFmtId="10" fontId="48" fillId="61" borderId="71" applyNumberFormat="0" applyBorder="0" applyAlignment="0" applyProtection="0"/>
    <xf numFmtId="0" fontId="23" fillId="54" borderId="97" applyNumberFormat="0" applyAlignment="0" applyProtection="0"/>
    <xf numFmtId="0" fontId="38" fillId="0" borderId="81">
      <alignment horizontal="left" vertical="center"/>
    </xf>
    <xf numFmtId="0" fontId="38" fillId="0" borderId="81">
      <alignment horizontal="left" vertical="center"/>
    </xf>
    <xf numFmtId="0" fontId="2" fillId="57" borderId="92" applyNumberFormat="0" applyFont="0" applyAlignment="0" applyProtection="0"/>
    <xf numFmtId="0" fontId="2" fillId="57" borderId="92" applyNumberFormat="0" applyFont="0" applyAlignment="0" applyProtection="0"/>
    <xf numFmtId="0" fontId="2" fillId="57" borderId="98" applyNumberFormat="0" applyFont="0" applyAlignment="0" applyProtection="0"/>
    <xf numFmtId="10" fontId="48" fillId="61" borderId="95" applyNumberFormat="0" applyBorder="0" applyAlignment="0" applyProtection="0"/>
    <xf numFmtId="10" fontId="48" fillId="61" borderId="95" applyNumberFormat="0" applyBorder="0" applyAlignment="0" applyProtection="0"/>
    <xf numFmtId="0" fontId="38" fillId="0" borderId="89">
      <alignment horizontal="left" vertical="center"/>
    </xf>
    <xf numFmtId="10" fontId="48" fillId="61" borderId="95" applyNumberFormat="0" applyBorder="0" applyAlignment="0" applyProtection="0"/>
    <xf numFmtId="10" fontId="48" fillId="61" borderId="95" applyNumberFormat="0" applyBorder="0" applyAlignment="0" applyProtection="0"/>
    <xf numFmtId="10" fontId="48" fillId="61" borderId="95" applyNumberFormat="0" applyBorder="0" applyAlignment="0" applyProtection="0"/>
    <xf numFmtId="0" fontId="2" fillId="57" borderId="98" applyNumberFormat="0" applyFont="0" applyAlignment="0" applyProtection="0"/>
    <xf numFmtId="0" fontId="23" fillId="54" borderId="91" applyNumberFormat="0" applyAlignment="0" applyProtection="0"/>
    <xf numFmtId="0" fontId="38" fillId="0" borderId="89">
      <alignment horizontal="left" vertical="center"/>
    </xf>
    <xf numFmtId="0" fontId="30" fillId="41" borderId="91" applyNumberFormat="0" applyAlignment="0" applyProtection="0"/>
    <xf numFmtId="0" fontId="30" fillId="41" borderId="91" applyNumberFormat="0" applyAlignment="0" applyProtection="0"/>
    <xf numFmtId="0" fontId="23" fillId="54" borderId="91" applyNumberFormat="0" applyAlignment="0" applyProtection="0"/>
    <xf numFmtId="0" fontId="2" fillId="57" borderId="74" applyNumberFormat="0" applyFont="0" applyAlignment="0" applyProtection="0"/>
    <xf numFmtId="10" fontId="48" fillId="61" borderId="95" applyNumberFormat="0" applyBorder="0" applyAlignment="0" applyProtection="0"/>
    <xf numFmtId="0" fontId="30" fillId="41" borderId="73" applyNumberFormat="0" applyAlignment="0" applyProtection="0"/>
    <xf numFmtId="0" fontId="23" fillId="54" borderId="73" applyNumberFormat="0" applyAlignment="0" applyProtection="0"/>
    <xf numFmtId="10" fontId="48" fillId="61" borderId="88" applyNumberFormat="0" applyBorder="0" applyAlignment="0" applyProtection="0"/>
    <xf numFmtId="0" fontId="33" fillId="54" borderId="93" applyNumberFormat="0" applyAlignment="0" applyProtection="0"/>
    <xf numFmtId="0" fontId="35" fillId="0" borderId="100" applyNumberFormat="0" applyFill="0" applyAlignment="0" applyProtection="0"/>
    <xf numFmtId="0" fontId="23" fillId="54" borderId="91" applyNumberFormat="0" applyAlignment="0" applyProtection="0"/>
    <xf numFmtId="0" fontId="38" fillId="0" borderId="89">
      <alignment horizontal="left" vertical="center"/>
    </xf>
    <xf numFmtId="0" fontId="30" fillId="41" borderId="97" applyNumberFormat="0" applyAlignment="0" applyProtection="0"/>
    <xf numFmtId="0" fontId="30" fillId="41" borderId="97" applyNumberFormat="0" applyAlignment="0" applyProtection="0"/>
    <xf numFmtId="0" fontId="23" fillId="54" borderId="73" applyNumberFormat="0" applyAlignment="0" applyProtection="0"/>
    <xf numFmtId="0" fontId="30" fillId="41" borderId="73" applyNumberFormat="0" applyAlignment="0" applyProtection="0"/>
    <xf numFmtId="0" fontId="30" fillId="41" borderId="73" applyNumberFormat="0" applyAlignment="0" applyProtection="0"/>
    <xf numFmtId="0" fontId="23" fillId="54" borderId="73" applyNumberFormat="0" applyAlignment="0" applyProtection="0"/>
    <xf numFmtId="0" fontId="2" fillId="57" borderId="74" applyNumberFormat="0" applyFont="0" applyAlignment="0" applyProtection="0"/>
    <xf numFmtId="0" fontId="33" fillId="54" borderId="75" applyNumberFormat="0" applyAlignment="0" applyProtection="0"/>
    <xf numFmtId="0" fontId="2" fillId="57" borderId="74" applyNumberFormat="0" applyFont="0" applyAlignment="0" applyProtection="0"/>
    <xf numFmtId="0" fontId="33" fillId="54" borderId="75" applyNumberFormat="0" applyAlignment="0" applyProtection="0"/>
    <xf numFmtId="10" fontId="48" fillId="61" borderId="71" applyNumberFormat="0" applyBorder="0" applyAlignment="0" applyProtection="0"/>
    <xf numFmtId="10" fontId="48" fillId="61" borderId="71" applyNumberFormat="0" applyBorder="0" applyAlignment="0" applyProtection="0"/>
    <xf numFmtId="0" fontId="38" fillId="0" borderId="65">
      <alignment horizontal="left" vertical="center"/>
    </xf>
    <xf numFmtId="0" fontId="38" fillId="0" borderId="65">
      <alignment horizontal="left" vertical="center"/>
    </xf>
    <xf numFmtId="10" fontId="48" fillId="61" borderId="71" applyNumberFormat="0" applyBorder="0" applyAlignment="0" applyProtection="0"/>
    <xf numFmtId="10" fontId="48" fillId="61" borderId="71" applyNumberFormat="0" applyBorder="0" applyAlignment="0" applyProtection="0"/>
    <xf numFmtId="0" fontId="30" fillId="41" borderId="97" applyNumberFormat="0" applyAlignment="0" applyProtection="0"/>
    <xf numFmtId="0" fontId="33" fillId="54" borderId="75" applyNumberFormat="0" applyAlignment="0" applyProtection="0"/>
    <xf numFmtId="10" fontId="48" fillId="61" borderId="82" applyNumberFormat="0" applyBorder="0" applyAlignment="0" applyProtection="0"/>
    <xf numFmtId="10" fontId="48" fillId="61" borderId="82" applyNumberFormat="0" applyBorder="0" applyAlignment="0" applyProtection="0"/>
    <xf numFmtId="10" fontId="48" fillId="61" borderId="71" applyNumberFormat="0" applyBorder="0" applyAlignment="0" applyProtection="0"/>
    <xf numFmtId="10" fontId="48" fillId="61" borderId="71" applyNumberFormat="0" applyBorder="0" applyAlignment="0" applyProtection="0"/>
    <xf numFmtId="0" fontId="38" fillId="0" borderId="81">
      <alignment horizontal="left" vertical="center"/>
    </xf>
    <xf numFmtId="0" fontId="38" fillId="0" borderId="81">
      <alignment horizontal="left" vertical="center"/>
    </xf>
    <xf numFmtId="10" fontId="48" fillId="61" borderId="71" applyNumberFormat="0" applyBorder="0" applyAlignment="0" applyProtection="0"/>
    <xf numFmtId="10" fontId="48" fillId="61" borderId="71" applyNumberFormat="0" applyBorder="0" applyAlignment="0" applyProtection="0"/>
    <xf numFmtId="0" fontId="73" fillId="63" borderId="83" applyFont="0" applyBorder="0">
      <alignment vertical="center"/>
    </xf>
    <xf numFmtId="0" fontId="1" fillId="64" borderId="82" applyFont="0" applyBorder="0" applyAlignment="0">
      <alignment vertical="center"/>
    </xf>
    <xf numFmtId="0" fontId="35" fillId="0" borderId="94" applyNumberFormat="0" applyFill="0" applyAlignment="0" applyProtection="0"/>
    <xf numFmtId="0" fontId="23" fillId="54" borderId="91" applyNumberFormat="0" applyAlignment="0" applyProtection="0"/>
    <xf numFmtId="0" fontId="23" fillId="54" borderId="84" applyNumberFormat="0" applyAlignment="0" applyProtection="0"/>
    <xf numFmtId="0" fontId="30" fillId="41" borderId="84" applyNumberFormat="0" applyAlignment="0" applyProtection="0"/>
    <xf numFmtId="0" fontId="30" fillId="41" borderId="84" applyNumberFormat="0" applyAlignment="0" applyProtection="0"/>
    <xf numFmtId="0" fontId="23" fillId="54" borderId="84" applyNumberFormat="0" applyAlignment="0" applyProtection="0"/>
    <xf numFmtId="0" fontId="2" fillId="57" borderId="85" applyNumberFormat="0" applyFont="0" applyAlignment="0" applyProtection="0"/>
    <xf numFmtId="0" fontId="33" fillId="54" borderId="86" applyNumberFormat="0" applyAlignment="0" applyProtection="0"/>
    <xf numFmtId="0" fontId="2" fillId="57" borderId="85" applyNumberFormat="0" applyFont="0" applyAlignment="0" applyProtection="0"/>
    <xf numFmtId="0" fontId="33" fillId="54" borderId="86" applyNumberFormat="0" applyAlignment="0" applyProtection="0"/>
    <xf numFmtId="10" fontId="48" fillId="61" borderId="88" applyNumberFormat="0" applyBorder="0" applyAlignment="0" applyProtection="0"/>
    <xf numFmtId="10" fontId="48" fillId="61" borderId="88" applyNumberFormat="0" applyBorder="0" applyAlignment="0" applyProtection="0"/>
    <xf numFmtId="0" fontId="30" fillId="41" borderId="97" applyNumberFormat="0" applyAlignment="0" applyProtection="0"/>
    <xf numFmtId="0" fontId="23" fillId="54" borderId="97" applyNumberFormat="0" applyAlignment="0" applyProtection="0"/>
    <xf numFmtId="0" fontId="73" fillId="63" borderId="90" applyFont="0" applyBorder="0">
      <alignment vertical="center"/>
    </xf>
    <xf numFmtId="0" fontId="1" fillId="64" borderId="88" applyFont="0" applyBorder="0" applyAlignment="0">
      <alignment vertical="center"/>
    </xf>
    <xf numFmtId="0" fontId="33" fillId="54" borderId="93" applyNumberFormat="0" applyAlignment="0" applyProtection="0"/>
    <xf numFmtId="0" fontId="33" fillId="54" borderId="93" applyNumberFormat="0" applyAlignment="0" applyProtection="0"/>
    <xf numFmtId="0" fontId="2" fillId="57" borderId="92" applyNumberFormat="0" applyFont="0" applyAlignment="0" applyProtection="0"/>
    <xf numFmtId="0" fontId="33" fillId="54" borderId="93" applyNumberFormat="0" applyAlignment="0" applyProtection="0"/>
    <xf numFmtId="10" fontId="48" fillId="61" borderId="95" applyNumberFormat="0" applyBorder="0" applyAlignment="0" applyProtection="0"/>
    <xf numFmtId="10" fontId="48" fillId="61" borderId="95" applyNumberFormat="0" applyBorder="0" applyAlignment="0" applyProtection="0"/>
    <xf numFmtId="0" fontId="2" fillId="57" borderId="98" applyNumberFormat="0" applyFont="0" applyAlignment="0" applyProtection="0"/>
    <xf numFmtId="0" fontId="73" fillId="63" borderId="96" applyFont="0" applyBorder="0">
      <alignment vertical="center"/>
    </xf>
    <xf numFmtId="0" fontId="1" fillId="64" borderId="95" applyFont="0" applyBorder="0" applyAlignment="0">
      <alignment vertical="center"/>
    </xf>
    <xf numFmtId="0" fontId="33" fillId="54" borderId="99" applyNumberFormat="0" applyAlignment="0" applyProtection="0"/>
    <xf numFmtId="0" fontId="2" fillId="57" borderId="98" applyNumberFormat="0" applyFont="0" applyAlignment="0" applyProtection="0"/>
    <xf numFmtId="0" fontId="33" fillId="54" borderId="99" applyNumberFormat="0" applyAlignment="0" applyProtection="0"/>
    <xf numFmtId="0" fontId="2" fillId="57" borderId="92" applyNumberFormat="0" applyFont="0" applyAlignment="0" applyProtection="0"/>
    <xf numFmtId="0" fontId="30" fillId="41" borderId="91" applyNumberFormat="0" applyAlignment="0" applyProtection="0"/>
    <xf numFmtId="10" fontId="48" fillId="61" borderId="95" applyNumberFormat="0" applyBorder="0" applyAlignment="0" applyProtection="0"/>
    <xf numFmtId="10" fontId="48" fillId="61" borderId="95" applyNumberFormat="0" applyBorder="0" applyAlignment="0" applyProtection="0"/>
    <xf numFmtId="0" fontId="38" fillId="0" borderId="89">
      <alignment horizontal="left" vertical="center"/>
    </xf>
    <xf numFmtId="0" fontId="38" fillId="0" borderId="89">
      <alignment horizontal="left" vertical="center"/>
    </xf>
    <xf numFmtId="10" fontId="48" fillId="61" borderId="95" applyNumberFormat="0" applyBorder="0" applyAlignment="0" applyProtection="0"/>
    <xf numFmtId="10" fontId="48" fillId="61" borderId="95" applyNumberFormat="0" applyBorder="0" applyAlignment="0" applyProtection="0"/>
    <xf numFmtId="0" fontId="33" fillId="54" borderId="99" applyNumberFormat="0" applyAlignment="0" applyProtection="0"/>
    <xf numFmtId="0" fontId="38" fillId="0" borderId="89">
      <alignment horizontal="left" vertical="center"/>
    </xf>
    <xf numFmtId="0" fontId="38" fillId="0" borderId="89">
      <alignment horizontal="left" vertical="center"/>
    </xf>
    <xf numFmtId="10" fontId="48" fillId="61" borderId="95" applyNumberFormat="0" applyBorder="0" applyAlignment="0" applyProtection="0"/>
    <xf numFmtId="10" fontId="48" fillId="61" borderId="95" applyNumberFormat="0" applyBorder="0" applyAlignment="0" applyProtection="0"/>
    <xf numFmtId="0" fontId="73" fillId="63" borderId="96" applyFont="0" applyBorder="0">
      <alignment vertical="center"/>
    </xf>
    <xf numFmtId="0" fontId="1" fillId="64" borderId="95" applyFont="0" applyBorder="0" applyAlignment="0">
      <alignment vertical="center"/>
    </xf>
    <xf numFmtId="9" fontId="37" fillId="0" borderId="0" applyFont="0" applyFill="0" applyBorder="0" applyAlignment="0" applyProtection="0"/>
    <xf numFmtId="0" fontId="96" fillId="0" borderId="0" applyNumberFormat="0" applyFill="0" applyBorder="0" applyAlignment="0" applyProtection="0"/>
    <xf numFmtId="43" fontId="37" fillId="0" borderId="0" applyFont="0" applyFill="0" applyBorder="0" applyAlignment="0" applyProtection="0"/>
    <xf numFmtId="0" fontId="2" fillId="0" borderId="0"/>
    <xf numFmtId="0" fontId="2" fillId="0" borderId="0"/>
    <xf numFmtId="0" fontId="2" fillId="0" borderId="0"/>
    <xf numFmtId="0" fontId="2" fillId="0" borderId="0"/>
  </cellStyleXfs>
  <cellXfs count="1053">
    <xf numFmtId="0" fontId="0" fillId="0" borderId="0" xfId="0"/>
    <xf numFmtId="0" fontId="66" fillId="0" borderId="0" xfId="0" applyFont="1"/>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horizontal="left" vertical="center" wrapText="1"/>
    </xf>
    <xf numFmtId="0" fontId="66" fillId="0" borderId="0" xfId="0" applyFont="1" applyAlignment="1">
      <alignment horizontal="center"/>
    </xf>
    <xf numFmtId="0" fontId="67" fillId="3" borderId="0" xfId="0" applyFont="1" applyFill="1" applyProtection="1">
      <protection hidden="1"/>
    </xf>
    <xf numFmtId="0" fontId="67" fillId="3" borderId="0" xfId="0" applyFont="1" applyFill="1" applyAlignment="1" applyProtection="1">
      <alignment vertical="center"/>
      <protection hidden="1"/>
    </xf>
    <xf numFmtId="0" fontId="67" fillId="3" borderId="0" xfId="0" applyFont="1" applyFill="1" applyAlignment="1" applyProtection="1">
      <alignment horizontal="left" vertical="center" indent="1"/>
      <protection hidden="1"/>
    </xf>
    <xf numFmtId="166" fontId="67" fillId="3" borderId="0" xfId="4" applyNumberFormat="1" applyFont="1" applyFill="1" applyBorder="1" applyAlignment="1" applyProtection="1">
      <alignment horizontal="left" vertical="center" indent="1"/>
      <protection hidden="1"/>
    </xf>
    <xf numFmtId="0" fontId="3" fillId="3" borderId="0" xfId="0" applyFont="1" applyFill="1" applyAlignment="1" applyProtection="1">
      <alignment vertical="center"/>
      <protection hidden="1"/>
    </xf>
    <xf numFmtId="0" fontId="67" fillId="3" borderId="0" xfId="0" applyFont="1" applyFill="1" applyAlignment="1" applyProtection="1">
      <alignment vertical="center" wrapText="1"/>
      <protection hidden="1"/>
    </xf>
    <xf numFmtId="0" fontId="67" fillId="0" borderId="0" xfId="0" applyFont="1"/>
    <xf numFmtId="0" fontId="70" fillId="0" borderId="0" xfId="0" applyFont="1"/>
    <xf numFmtId="0" fontId="3" fillId="0" borderId="0" xfId="0" applyFont="1"/>
    <xf numFmtId="0" fontId="67" fillId="3" borderId="0" xfId="0" applyFont="1" applyFill="1" applyAlignment="1">
      <alignment vertical="center"/>
    </xf>
    <xf numFmtId="0" fontId="75" fillId="0" borderId="0" xfId="2503" applyFont="1" applyAlignment="1">
      <alignment vertical="center" wrapText="1"/>
    </xf>
    <xf numFmtId="0" fontId="74" fillId="0" borderId="0" xfId="2503">
      <alignment vertical="top" wrapText="1"/>
    </xf>
    <xf numFmtId="0" fontId="76" fillId="0" borderId="0" xfId="2503" applyFont="1" applyAlignment="1">
      <alignment vertical="center" wrapText="1"/>
    </xf>
    <xf numFmtId="0" fontId="0" fillId="0" borderId="0" xfId="0" applyAlignment="1">
      <alignment horizontal="left" vertical="top"/>
    </xf>
    <xf numFmtId="0" fontId="0" fillId="0" borderId="3" xfId="0" applyBorder="1" applyAlignment="1">
      <alignment horizontal="left" vertical="top"/>
    </xf>
    <xf numFmtId="3" fontId="0" fillId="0" borderId="3" xfId="0" applyNumberFormat="1" applyBorder="1" applyAlignment="1">
      <alignment horizontal="left" vertical="top"/>
    </xf>
    <xf numFmtId="0" fontId="81" fillId="0" borderId="0" xfId="0" applyFont="1" applyAlignment="1">
      <alignment horizontal="left" vertical="top"/>
    </xf>
    <xf numFmtId="1" fontId="0" fillId="0" borderId="3" xfId="4" applyNumberFormat="1" applyFont="1" applyFill="1" applyBorder="1" applyAlignment="1">
      <alignment horizontal="left" vertical="top"/>
    </xf>
    <xf numFmtId="1" fontId="0" fillId="0" borderId="0" xfId="4" applyNumberFormat="1" applyFont="1" applyFill="1" applyBorder="1" applyAlignment="1">
      <alignment horizontal="left" vertical="top"/>
    </xf>
    <xf numFmtId="0" fontId="1" fillId="0" borderId="0" xfId="54"/>
    <xf numFmtId="0" fontId="67" fillId="0" borderId="0" xfId="54" applyFont="1"/>
    <xf numFmtId="0" fontId="67" fillId="0" borderId="0" xfId="54" applyFont="1" applyAlignment="1">
      <alignment vertical="top" wrapText="1"/>
    </xf>
    <xf numFmtId="0" fontId="67" fillId="0" borderId="0" xfId="54" applyFont="1" applyAlignment="1">
      <alignment horizontal="left" vertical="top" wrapText="1"/>
    </xf>
    <xf numFmtId="0" fontId="84" fillId="3" borderId="0" xfId="1901" applyFont="1" applyFill="1" applyAlignment="1" applyProtection="1">
      <alignment vertical="center"/>
      <protection hidden="1"/>
    </xf>
    <xf numFmtId="0" fontId="87" fillId="0" borderId="0" xfId="0" applyFont="1" applyAlignment="1">
      <alignment horizontal="left" vertical="top"/>
    </xf>
    <xf numFmtId="3" fontId="3" fillId="3" borderId="0" xfId="0" applyNumberFormat="1" applyFont="1" applyFill="1" applyAlignment="1">
      <alignment vertical="center"/>
    </xf>
    <xf numFmtId="0" fontId="0" fillId="3" borderId="0" xfId="0" applyFill="1"/>
    <xf numFmtId="0" fontId="4" fillId="3" borderId="43" xfId="0" applyFont="1" applyFill="1" applyBorder="1"/>
    <xf numFmtId="0" fontId="4" fillId="3" borderId="45" xfId="0" applyFont="1" applyFill="1" applyBorder="1"/>
    <xf numFmtId="0" fontId="4" fillId="3" borderId="44" xfId="0" applyFont="1" applyFill="1" applyBorder="1"/>
    <xf numFmtId="0" fontId="3" fillId="3" borderId="2" xfId="0" applyFont="1" applyFill="1" applyBorder="1" applyAlignment="1">
      <alignment vertical="center" wrapText="1"/>
    </xf>
    <xf numFmtId="44" fontId="3" fillId="3" borderId="3" xfId="1" applyFont="1" applyFill="1" applyBorder="1" applyAlignment="1">
      <alignment vertical="center" wrapText="1"/>
    </xf>
    <xf numFmtId="0" fontId="3" fillId="3" borderId="48" xfId="0" applyFont="1" applyFill="1" applyBorder="1" applyAlignment="1">
      <alignment vertical="center" wrapText="1"/>
    </xf>
    <xf numFmtId="0" fontId="4" fillId="3" borderId="4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3" fillId="3" borderId="38" xfId="0" applyFont="1" applyFill="1" applyBorder="1" applyAlignment="1">
      <alignment vertical="center" wrapText="1"/>
    </xf>
    <xf numFmtId="0" fontId="3" fillId="3" borderId="39" xfId="0" applyFont="1" applyFill="1" applyBorder="1" applyAlignment="1">
      <alignment vertical="center" wrapText="1"/>
    </xf>
    <xf numFmtId="0" fontId="0" fillId="3" borderId="2" xfId="0" applyFill="1" applyBorder="1" applyAlignment="1">
      <alignment horizontal="center"/>
    </xf>
    <xf numFmtId="0" fontId="0" fillId="3" borderId="3" xfId="0" applyFill="1" applyBorder="1" applyAlignment="1">
      <alignment horizontal="center"/>
    </xf>
    <xf numFmtId="165" fontId="0" fillId="3" borderId="48" xfId="0" applyNumberFormat="1"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6" fontId="0" fillId="3" borderId="48" xfId="2506" applyNumberFormat="1" applyFont="1" applyFill="1" applyBorder="1" applyAlignment="1">
      <alignment horizontal="center" vertical="center"/>
    </xf>
    <xf numFmtId="0" fontId="0" fillId="3" borderId="40" xfId="0" applyFill="1" applyBorder="1" applyAlignment="1">
      <alignment horizontal="center"/>
    </xf>
    <xf numFmtId="0" fontId="0" fillId="3" borderId="41" xfId="0" applyFill="1" applyBorder="1" applyAlignment="1">
      <alignment horizontal="center"/>
    </xf>
    <xf numFmtId="165" fontId="0" fillId="3" borderId="42" xfId="0" applyNumberFormat="1" applyFill="1" applyBorder="1" applyAlignment="1">
      <alignment horizontal="center"/>
    </xf>
    <xf numFmtId="0" fontId="4" fillId="3" borderId="43" xfId="0" applyFont="1" applyFill="1" applyBorder="1" applyAlignment="1">
      <alignment horizontal="center" vertical="center" wrapText="1"/>
    </xf>
    <xf numFmtId="186" fontId="4" fillId="3" borderId="45" xfId="2506" applyNumberFormat="1" applyFont="1" applyFill="1" applyBorder="1" applyAlignment="1">
      <alignment horizontal="center" vertical="center"/>
    </xf>
    <xf numFmtId="186" fontId="4" fillId="3" borderId="52" xfId="2506" applyNumberFormat="1" applyFont="1" applyFill="1" applyBorder="1" applyAlignment="1">
      <alignment horizontal="center" vertical="center"/>
    </xf>
    <xf numFmtId="0" fontId="0" fillId="3" borderId="38" xfId="0" applyFill="1" applyBorder="1" applyAlignment="1">
      <alignment horizontal="center" vertical="center"/>
    </xf>
    <xf numFmtId="186" fontId="0" fillId="3" borderId="39" xfId="2506" applyNumberFormat="1" applyFont="1" applyFill="1" applyBorder="1" applyAlignment="1">
      <alignment horizontal="center" vertical="center"/>
    </xf>
    <xf numFmtId="0" fontId="89" fillId="3" borderId="0" xfId="0" applyFont="1" applyFill="1"/>
    <xf numFmtId="0" fontId="0" fillId="3" borderId="2" xfId="0" applyFill="1" applyBorder="1"/>
    <xf numFmtId="0" fontId="0" fillId="3" borderId="3" xfId="0" applyFill="1" applyBorder="1"/>
    <xf numFmtId="0" fontId="0" fillId="3" borderId="7" xfId="0" applyFill="1" applyBorder="1"/>
    <xf numFmtId="0" fontId="0" fillId="3" borderId="38" xfId="0" applyFill="1" applyBorder="1"/>
    <xf numFmtId="0" fontId="4" fillId="3" borderId="0" xfId="0" applyFont="1" applyFill="1"/>
    <xf numFmtId="0" fontId="0" fillId="3" borderId="40" xfId="0" applyFill="1" applyBorder="1" applyAlignment="1">
      <alignment horizontal="center" vertical="center"/>
    </xf>
    <xf numFmtId="0" fontId="0" fillId="3" borderId="41" xfId="0" applyFill="1" applyBorder="1" applyAlignment="1">
      <alignment horizontal="center" vertical="center"/>
    </xf>
    <xf numFmtId="186" fontId="0" fillId="3" borderId="42" xfId="2506" applyNumberFormat="1" applyFont="1" applyFill="1" applyBorder="1" applyAlignment="1">
      <alignment horizontal="center" vertical="center"/>
    </xf>
    <xf numFmtId="0" fontId="0" fillId="3" borderId="40" xfId="0" applyFill="1" applyBorder="1"/>
    <xf numFmtId="0" fontId="0" fillId="3" borderId="41" xfId="0" applyFill="1" applyBorder="1"/>
    <xf numFmtId="0" fontId="3" fillId="3" borderId="40" xfId="0" applyFont="1" applyFill="1" applyBorder="1" applyAlignment="1">
      <alignment vertical="center" wrapText="1"/>
    </xf>
    <xf numFmtId="44" fontId="3" fillId="3" borderId="41" xfId="1" applyFont="1" applyFill="1" applyBorder="1" applyAlignment="1">
      <alignment vertical="center" wrapText="1"/>
    </xf>
    <xf numFmtId="0" fontId="3" fillId="3" borderId="42" xfId="0" applyFont="1" applyFill="1" applyBorder="1" applyAlignment="1">
      <alignment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0" fillId="3" borderId="48" xfId="0" applyFill="1" applyBorder="1"/>
    <xf numFmtId="0" fontId="0" fillId="3" borderId="39" xfId="0" applyFill="1" applyBorder="1"/>
    <xf numFmtId="0" fontId="0" fillId="3" borderId="42" xfId="0" applyFill="1" applyBorder="1"/>
    <xf numFmtId="9" fontId="0" fillId="3" borderId="0" xfId="2506" applyFont="1" applyFill="1"/>
    <xf numFmtId="0" fontId="1" fillId="0" borderId="0" xfId="2508"/>
    <xf numFmtId="0" fontId="37" fillId="0" borderId="0" xfId="2001" applyAlignment="1">
      <alignment horizontal="left" vertical="top"/>
    </xf>
    <xf numFmtId="0" fontId="82" fillId="0" borderId="0" xfId="2504"/>
    <xf numFmtId="0" fontId="67" fillId="0" borderId="0" xfId="54" applyFont="1" applyAlignment="1">
      <alignment horizontal="right"/>
    </xf>
    <xf numFmtId="0" fontId="67" fillId="0" borderId="0" xfId="0" applyFont="1" applyProtection="1">
      <protection locked="0"/>
    </xf>
    <xf numFmtId="0" fontId="3" fillId="0" borderId="0" xfId="0" applyFont="1" applyAlignment="1">
      <alignment horizontal="center" vertical="center" wrapText="1"/>
    </xf>
    <xf numFmtId="0" fontId="4" fillId="3" borderId="8"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85" fillId="0" borderId="0" xfId="54" applyFont="1" applyAlignment="1">
      <alignment horizontal="left" wrapText="1"/>
    </xf>
    <xf numFmtId="0" fontId="87" fillId="0" borderId="0" xfId="2001" applyFont="1" applyAlignment="1">
      <alignment horizontal="left" vertical="top"/>
    </xf>
    <xf numFmtId="0" fontId="80" fillId="0" borderId="0" xfId="2001" applyFont="1" applyAlignment="1">
      <alignment horizontal="left" vertical="top"/>
    </xf>
    <xf numFmtId="10" fontId="0" fillId="0" borderId="0" xfId="2875" applyNumberFormat="1" applyFont="1" applyFill="1" applyBorder="1" applyAlignment="1">
      <alignment horizontal="left" vertical="top"/>
    </xf>
    <xf numFmtId="0" fontId="37" fillId="0" borderId="0" xfId="2001"/>
    <xf numFmtId="3" fontId="37" fillId="0" borderId="3" xfId="2001" applyNumberFormat="1" applyBorder="1" applyAlignment="1">
      <alignment horizontal="left" vertical="top"/>
    </xf>
    <xf numFmtId="0" fontId="81" fillId="0" borderId="0" xfId="2001" applyFont="1" applyAlignment="1">
      <alignment horizontal="left" vertical="top"/>
    </xf>
    <xf numFmtId="0" fontId="98" fillId="0" borderId="0" xfId="2876" applyFont="1" applyFill="1" applyBorder="1" applyAlignment="1">
      <alignment horizontal="left" vertical="top"/>
    </xf>
    <xf numFmtId="0" fontId="81" fillId="0" borderId="0" xfId="2001" applyFont="1"/>
    <xf numFmtId="0" fontId="79" fillId="0" borderId="0" xfId="2001" applyFont="1"/>
    <xf numFmtId="0" fontId="101" fillId="0" borderId="0" xfId="2001" applyFont="1"/>
    <xf numFmtId="9" fontId="37" fillId="0" borderId="0" xfId="2875" applyFont="1" applyFill="1" applyBorder="1"/>
    <xf numFmtId="9" fontId="37" fillId="0" borderId="0" xfId="2875" applyFont="1" applyFill="1" applyBorder="1" applyAlignment="1">
      <alignment horizontal="right" vertical="top"/>
    </xf>
    <xf numFmtId="1" fontId="37" fillId="0" borderId="0" xfId="2001" applyNumberFormat="1" applyAlignment="1">
      <alignment horizontal="left" vertical="top"/>
    </xf>
    <xf numFmtId="0" fontId="74" fillId="0" borderId="0" xfId="2503" applyFill="1" applyBorder="1" applyAlignment="1">
      <alignment vertical="top"/>
    </xf>
    <xf numFmtId="0" fontId="102" fillId="0" borderId="0" xfId="2001" applyFont="1" applyAlignment="1">
      <alignment horizontal="left" vertical="top"/>
    </xf>
    <xf numFmtId="0" fontId="4" fillId="58" borderId="0" xfId="2001" applyFont="1" applyFill="1"/>
    <xf numFmtId="0" fontId="4" fillId="58" borderId="0" xfId="2001" applyFont="1" applyFill="1" applyAlignment="1">
      <alignment wrapText="1"/>
    </xf>
    <xf numFmtId="0" fontId="37" fillId="0" borderId="0" xfId="2001" applyAlignment="1">
      <alignment horizontal="left"/>
    </xf>
    <xf numFmtId="0" fontId="37" fillId="71" borderId="0" xfId="2001" applyFill="1" applyAlignment="1">
      <alignment horizontal="left"/>
    </xf>
    <xf numFmtId="0" fontId="37" fillId="2" borderId="0" xfId="2001" applyFill="1" applyAlignment="1">
      <alignment horizontal="left"/>
    </xf>
    <xf numFmtId="0" fontId="37" fillId="2" borderId="0" xfId="2001" applyFill="1"/>
    <xf numFmtId="0" fontId="37" fillId="71" borderId="0" xfId="2001" applyFill="1"/>
    <xf numFmtId="0" fontId="103" fillId="3" borderId="0" xfId="0" applyFont="1" applyFill="1" applyAlignment="1" applyProtection="1">
      <alignment vertical="center"/>
      <protection hidden="1"/>
    </xf>
    <xf numFmtId="0" fontId="103" fillId="3" borderId="0" xfId="0" applyFont="1" applyFill="1" applyAlignment="1" applyProtection="1">
      <alignment horizontal="left" vertical="center" indent="1"/>
      <protection hidden="1"/>
    </xf>
    <xf numFmtId="166" fontId="103" fillId="3" borderId="0" xfId="4" applyNumberFormat="1" applyFont="1" applyFill="1" applyBorder="1" applyAlignment="1" applyProtection="1">
      <alignment horizontal="left" vertical="center" indent="1"/>
      <protection hidden="1"/>
    </xf>
    <xf numFmtId="0" fontId="103" fillId="3" borderId="0" xfId="0" applyFont="1" applyFill="1" applyProtection="1">
      <protection hidden="1"/>
    </xf>
    <xf numFmtId="0" fontId="37" fillId="0" borderId="0" xfId="0" applyFont="1" applyAlignment="1">
      <alignment horizontal="center" vertical="center" wrapText="1"/>
    </xf>
    <xf numFmtId="0" fontId="103" fillId="3" borderId="0" xfId="0" applyFont="1" applyFill="1" applyAlignment="1" applyProtection="1">
      <alignment vertical="center" wrapText="1"/>
      <protection hidden="1"/>
    </xf>
    <xf numFmtId="0" fontId="63" fillId="0" borderId="0" xfId="2001" applyFont="1" applyAlignment="1">
      <alignment horizontal="left" vertical="top"/>
    </xf>
    <xf numFmtId="0" fontId="104" fillId="0" borderId="0" xfId="2001" applyFont="1" applyAlignment="1">
      <alignment horizontal="left" vertical="top"/>
    </xf>
    <xf numFmtId="0" fontId="105" fillId="0" borderId="0" xfId="2876" applyFont="1" applyFill="1" applyBorder="1" applyAlignment="1">
      <alignment horizontal="left" vertical="top"/>
    </xf>
    <xf numFmtId="0" fontId="37" fillId="0" borderId="0" xfId="2001" applyAlignment="1">
      <alignment horizontal="left" vertical="center"/>
    </xf>
    <xf numFmtId="0" fontId="3" fillId="3" borderId="0" xfId="0" applyFont="1" applyFill="1" applyAlignment="1" applyProtection="1">
      <alignment horizontal="center" vertical="center" wrapText="1"/>
      <protection hidden="1"/>
    </xf>
    <xf numFmtId="44" fontId="3" fillId="3" borderId="0" xfId="0" applyNumberFormat="1" applyFont="1" applyFill="1" applyAlignment="1" applyProtection="1">
      <alignment vertical="center"/>
      <protection hidden="1"/>
    </xf>
    <xf numFmtId="0" fontId="3" fillId="3" borderId="0" xfId="0" applyFont="1" applyFill="1" applyAlignment="1" applyProtection="1">
      <alignment horizontal="left" vertical="center" indent="1"/>
      <protection hidden="1"/>
    </xf>
    <xf numFmtId="0" fontId="95" fillId="3" borderId="0" xfId="0" applyFont="1" applyFill="1" applyAlignment="1" applyProtection="1">
      <alignment vertical="center"/>
      <protection hidden="1"/>
    </xf>
    <xf numFmtId="0" fontId="105" fillId="3" borderId="0" xfId="2504" applyFont="1" applyFill="1" applyAlignment="1" applyProtection="1">
      <alignment vertical="center"/>
      <protection hidden="1"/>
    </xf>
    <xf numFmtId="0" fontId="37" fillId="0" borderId="4" xfId="2001" applyBorder="1" applyAlignment="1">
      <alignment horizontal="left" vertical="top"/>
    </xf>
    <xf numFmtId="0" fontId="70" fillId="72" borderId="104" xfId="0" applyFont="1" applyFill="1" applyBorder="1"/>
    <xf numFmtId="0" fontId="67" fillId="72" borderId="105" xfId="0" applyFont="1" applyFill="1" applyBorder="1"/>
    <xf numFmtId="0" fontId="70" fillId="72" borderId="105" xfId="0" applyFont="1" applyFill="1" applyBorder="1"/>
    <xf numFmtId="2" fontId="67" fillId="72" borderId="105" xfId="0" applyNumberFormat="1" applyFont="1" applyFill="1" applyBorder="1"/>
    <xf numFmtId="0" fontId="4" fillId="72" borderId="106" xfId="0" applyFont="1" applyFill="1" applyBorder="1" applyAlignment="1">
      <alignment horizontal="center" vertical="center"/>
    </xf>
    <xf numFmtId="186" fontId="4" fillId="72" borderId="103" xfId="2506" applyNumberFormat="1" applyFont="1" applyFill="1" applyBorder="1" applyAlignment="1">
      <alignment horizontal="center" vertical="center"/>
    </xf>
    <xf numFmtId="0" fontId="0" fillId="72" borderId="107" xfId="0" applyFill="1" applyBorder="1"/>
    <xf numFmtId="0" fontId="0" fillId="72" borderId="108" xfId="0" applyFill="1" applyBorder="1"/>
    <xf numFmtId="0" fontId="0" fillId="72" borderId="105" xfId="0" applyFill="1" applyBorder="1"/>
    <xf numFmtId="166" fontId="106" fillId="69" borderId="0" xfId="4" applyNumberFormat="1" applyFont="1" applyFill="1" applyBorder="1" applyAlignment="1" applyProtection="1">
      <alignment horizontal="center" vertical="center"/>
      <protection hidden="1"/>
    </xf>
    <xf numFmtId="0" fontId="113" fillId="0" borderId="0" xfId="0" applyFont="1" applyAlignment="1">
      <alignment horizontal="left"/>
    </xf>
    <xf numFmtId="0" fontId="40" fillId="0" borderId="0" xfId="0" applyFont="1" applyAlignment="1">
      <alignment horizontal="left" vertical="center" wrapText="1"/>
    </xf>
    <xf numFmtId="0" fontId="107" fillId="0" borderId="0" xfId="2878" applyFont="1" applyAlignment="1">
      <alignment horizontal="left" vertical="center" wrapText="1"/>
    </xf>
    <xf numFmtId="9" fontId="108" fillId="73" borderId="0" xfId="0" applyNumberFormat="1" applyFont="1" applyFill="1" applyAlignment="1" applyProtection="1">
      <alignment horizontal="center" vertical="center"/>
      <protection locked="0"/>
    </xf>
    <xf numFmtId="1" fontId="3" fillId="35" borderId="0" xfId="0" applyNumberFormat="1" applyFont="1" applyFill="1" applyAlignment="1" applyProtection="1">
      <alignment horizontal="center" vertical="center"/>
      <protection locked="0"/>
    </xf>
    <xf numFmtId="0" fontId="107" fillId="0" borderId="0" xfId="2878" applyFont="1" applyAlignment="1">
      <alignment horizontal="left" vertical="center"/>
    </xf>
    <xf numFmtId="0" fontId="108" fillId="0" borderId="0" xfId="0" applyFont="1" applyAlignment="1">
      <alignment vertical="center"/>
    </xf>
    <xf numFmtId="0" fontId="48" fillId="0" borderId="0" xfId="0" applyFont="1" applyAlignment="1">
      <alignment horizontal="left"/>
    </xf>
    <xf numFmtId="0" fontId="48" fillId="0" borderId="0" xfId="0" applyFont="1" applyProtection="1">
      <protection locked="0"/>
    </xf>
    <xf numFmtId="0" fontId="114" fillId="0" borderId="0" xfId="0" applyFont="1" applyAlignment="1" applyProtection="1">
      <alignment vertical="center"/>
      <protection locked="0"/>
    </xf>
    <xf numFmtId="0" fontId="115" fillId="0" borderId="0" xfId="0" applyFont="1" applyAlignment="1" applyProtection="1">
      <alignment vertical="center"/>
      <protection locked="0"/>
    </xf>
    <xf numFmtId="0" fontId="107" fillId="0" borderId="0" xfId="0" applyFont="1" applyProtection="1">
      <protection locked="0"/>
    </xf>
    <xf numFmtId="0" fontId="107" fillId="0" borderId="0" xfId="0" applyFont="1" applyAlignment="1" applyProtection="1">
      <alignment vertical="center"/>
      <protection locked="0"/>
    </xf>
    <xf numFmtId="0" fontId="108" fillId="0" borderId="0" xfId="2880" applyFont="1" applyProtection="1">
      <protection locked="0"/>
    </xf>
    <xf numFmtId="0" fontId="108" fillId="0" borderId="0" xfId="0" applyFont="1" applyAlignment="1">
      <alignment horizontal="center" vertical="center"/>
    </xf>
    <xf numFmtId="0" fontId="2" fillId="0" borderId="0" xfId="0" applyFont="1" applyAlignment="1">
      <alignment vertical="center"/>
    </xf>
    <xf numFmtId="0" fontId="117" fillId="0" borderId="0" xfId="0" applyFont="1" applyAlignment="1" applyProtection="1">
      <alignment vertical="center"/>
      <protection locked="0"/>
    </xf>
    <xf numFmtId="0" fontId="108" fillId="0" borderId="0" xfId="2880" applyFont="1" applyAlignment="1" applyProtection="1">
      <alignment vertical="top"/>
      <protection locked="0"/>
    </xf>
    <xf numFmtId="0" fontId="108" fillId="0" borderId="0" xfId="2878" applyFont="1" applyAlignment="1" applyProtection="1">
      <alignment horizontal="left" indent="1"/>
      <protection locked="0"/>
    </xf>
    <xf numFmtId="0" fontId="113" fillId="0" borderId="0" xfId="0" applyFont="1" applyAlignment="1" applyProtection="1">
      <alignment horizontal="left"/>
      <protection locked="0"/>
    </xf>
    <xf numFmtId="0" fontId="48" fillId="0" borderId="0" xfId="0" applyFont="1" applyAlignment="1" applyProtection="1">
      <alignment horizontal="center"/>
      <protection locked="0"/>
    </xf>
    <xf numFmtId="0" fontId="107" fillId="0" borderId="0" xfId="0" applyFont="1" applyAlignment="1" applyProtection="1">
      <alignment horizontal="center"/>
      <protection locked="0"/>
    </xf>
    <xf numFmtId="0" fontId="2" fillId="0" borderId="0" xfId="0" applyFont="1" applyAlignment="1" applyProtection="1">
      <alignment horizontal="center"/>
      <protection locked="0"/>
    </xf>
    <xf numFmtId="0" fontId="111" fillId="0" borderId="0" xfId="2879" applyFont="1" applyAlignment="1" applyProtection="1">
      <alignment horizontal="left" indent="1"/>
      <protection locked="0"/>
    </xf>
    <xf numFmtId="9" fontId="111" fillId="0" borderId="0" xfId="2879" applyNumberFormat="1" applyFont="1" applyAlignment="1" applyProtection="1">
      <alignment horizontal="right"/>
      <protection locked="0"/>
    </xf>
    <xf numFmtId="0" fontId="111" fillId="0" borderId="0" xfId="2879" applyFont="1" applyAlignment="1" applyProtection="1">
      <alignment horizontal="left"/>
      <protection locked="0"/>
    </xf>
    <xf numFmtId="0" fontId="111" fillId="0" borderId="0" xfId="2881" applyFont="1" applyAlignment="1" applyProtection="1">
      <alignment horizontal="left" indent="2"/>
      <protection locked="0"/>
    </xf>
    <xf numFmtId="0" fontId="108" fillId="0" borderId="0" xfId="0" applyFont="1" applyProtection="1">
      <protection locked="0"/>
    </xf>
    <xf numFmtId="0" fontId="2" fillId="0" borderId="0" xfId="0" applyFont="1"/>
    <xf numFmtId="3" fontId="108" fillId="0" borderId="0" xfId="0" applyNumberFormat="1" applyFont="1" applyAlignment="1">
      <alignment horizontal="center" vertical="center"/>
    </xf>
    <xf numFmtId="0" fontId="108" fillId="0" borderId="0" xfId="0" applyFont="1" applyAlignment="1">
      <alignment horizontal="center"/>
    </xf>
    <xf numFmtId="189" fontId="108" fillId="0" borderId="0" xfId="0" applyNumberFormat="1" applyFont="1" applyAlignment="1">
      <alignment horizontal="center" vertical="center"/>
    </xf>
    <xf numFmtId="0" fontId="108" fillId="0" borderId="0" xfId="0" applyFont="1" applyAlignment="1">
      <alignment horizontal="left" vertical="center" wrapText="1" indent="2"/>
    </xf>
    <xf numFmtId="188" fontId="48" fillId="0" borderId="0" xfId="2239" applyNumberFormat="1" applyFont="1" applyFill="1" applyBorder="1" applyAlignment="1" applyProtection="1">
      <alignment horizontal="center"/>
    </xf>
    <xf numFmtId="188" fontId="48" fillId="0" borderId="0" xfId="0" applyNumberFormat="1" applyFont="1" applyAlignment="1" applyProtection="1">
      <alignment horizontal="center"/>
      <protection locked="0"/>
    </xf>
    <xf numFmtId="0" fontId="48" fillId="0" borderId="0" xfId="0" applyFont="1" applyAlignment="1" applyProtection="1">
      <alignment horizontal="left"/>
      <protection locked="0"/>
    </xf>
    <xf numFmtId="0" fontId="107" fillId="0" borderId="0" xfId="0" applyFont="1" applyAlignment="1" applyProtection="1">
      <alignment horizontal="center" vertical="center"/>
      <protection locked="0"/>
    </xf>
    <xf numFmtId="3" fontId="108" fillId="0" borderId="0" xfId="0" applyNumberFormat="1" applyFont="1" applyAlignment="1" applyProtection="1">
      <alignment horizontal="center" vertical="center"/>
      <protection locked="0"/>
    </xf>
    <xf numFmtId="0" fontId="108" fillId="0" borderId="0" xfId="0" quotePrefix="1" applyFont="1" applyAlignment="1" applyProtection="1">
      <alignment horizontal="center"/>
      <protection locked="0"/>
    </xf>
    <xf numFmtId="3" fontId="108" fillId="0" borderId="0" xfId="0" applyNumberFormat="1" applyFont="1" applyAlignment="1" applyProtection="1">
      <alignment horizontal="left" vertical="center"/>
      <protection locked="0"/>
    </xf>
    <xf numFmtId="0" fontId="108" fillId="0" borderId="5" xfId="0" applyFont="1" applyBorder="1" applyProtection="1">
      <protection locked="0"/>
    </xf>
    <xf numFmtId="0" fontId="108" fillId="0" borderId="5" xfId="0" applyFont="1" applyBorder="1" applyAlignment="1" applyProtection="1">
      <alignment horizontal="left"/>
      <protection locked="0"/>
    </xf>
    <xf numFmtId="0" fontId="108" fillId="0" borderId="5" xfId="0" applyFont="1" applyBorder="1" applyAlignment="1" applyProtection="1">
      <alignment horizontal="center"/>
      <protection locked="0"/>
    </xf>
    <xf numFmtId="0" fontId="2" fillId="0" borderId="113" xfId="0" applyFont="1" applyBorder="1"/>
    <xf numFmtId="0" fontId="2" fillId="0" borderId="3" xfId="0" applyFont="1" applyBorder="1"/>
    <xf numFmtId="0" fontId="120" fillId="0" borderId="116" xfId="2503" applyFont="1" applyBorder="1" applyAlignment="1">
      <alignment vertical="top"/>
    </xf>
    <xf numFmtId="0" fontId="74" fillId="75" borderId="0" xfId="2503" applyFill="1" applyBorder="1" applyAlignment="1">
      <alignment vertical="top"/>
    </xf>
    <xf numFmtId="0" fontId="74" fillId="0" borderId="0" xfId="2503" applyBorder="1" applyAlignment="1">
      <alignment vertical="top"/>
    </xf>
    <xf numFmtId="0" fontId="107" fillId="0" borderId="0" xfId="0" applyFont="1" applyAlignment="1">
      <alignment horizontal="center" vertical="center" wrapText="1"/>
    </xf>
    <xf numFmtId="186" fontId="48" fillId="0" borderId="0" xfId="2239" applyNumberFormat="1" applyFont="1" applyFill="1" applyBorder="1" applyAlignment="1" applyProtection="1">
      <alignment horizontal="center"/>
    </xf>
    <xf numFmtId="188" fontId="48" fillId="0" borderId="0" xfId="0" applyNumberFormat="1" applyFont="1" applyAlignment="1">
      <alignment horizontal="center"/>
    </xf>
    <xf numFmtId="0" fontId="121" fillId="0" borderId="0" xfId="0" applyFont="1"/>
    <xf numFmtId="0" fontId="108" fillId="0" borderId="0" xfId="0" applyFont="1" applyAlignment="1">
      <alignment horizontal="left"/>
    </xf>
    <xf numFmtId="3" fontId="108" fillId="0" borderId="0" xfId="0" applyNumberFormat="1" applyFont="1" applyAlignment="1">
      <alignment horizontal="left"/>
    </xf>
    <xf numFmtId="0" fontId="108" fillId="0" borderId="0" xfId="0" applyFont="1"/>
    <xf numFmtId="44" fontId="108" fillId="0" borderId="0" xfId="1" applyFont="1" applyAlignment="1" applyProtection="1">
      <alignment horizontal="center"/>
      <protection locked="0"/>
    </xf>
    <xf numFmtId="0" fontId="111" fillId="0" borderId="0" xfId="2879" applyFont="1" applyAlignment="1">
      <alignment horizontal="left" indent="1"/>
    </xf>
    <xf numFmtId="9" fontId="111" fillId="0" borderId="0" xfId="2879" applyNumberFormat="1" applyFont="1" applyAlignment="1">
      <alignment horizontal="right"/>
    </xf>
    <xf numFmtId="0" fontId="111" fillId="0" borderId="0" xfId="2879" applyFont="1" applyAlignment="1">
      <alignment horizontal="left"/>
    </xf>
    <xf numFmtId="0" fontId="107" fillId="0" borderId="0" xfId="0" applyFont="1" applyAlignment="1">
      <alignment vertical="center"/>
    </xf>
    <xf numFmtId="0" fontId="117" fillId="0" borderId="0" xfId="0" applyFont="1" applyAlignment="1">
      <alignment vertical="center"/>
    </xf>
    <xf numFmtId="0" fontId="40" fillId="0" borderId="3" xfId="0" applyFont="1" applyBorder="1"/>
    <xf numFmtId="0" fontId="0" fillId="0" borderId="3" xfId="0" applyBorder="1"/>
    <xf numFmtId="0" fontId="48" fillId="0" borderId="0" xfId="0" applyFont="1"/>
    <xf numFmtId="0" fontId="48" fillId="0" borderId="0" xfId="0" applyFont="1" applyAlignment="1">
      <alignment horizontal="center"/>
    </xf>
    <xf numFmtId="0" fontId="107" fillId="0" borderId="0" xfId="0" applyFont="1" applyAlignment="1">
      <alignment horizontal="center"/>
    </xf>
    <xf numFmtId="0" fontId="2" fillId="0" borderId="0" xfId="0" applyFont="1" applyAlignment="1">
      <alignment horizontal="center"/>
    </xf>
    <xf numFmtId="0" fontId="110" fillId="0" borderId="0" xfId="0" applyFont="1"/>
    <xf numFmtId="0" fontId="0" fillId="0" borderId="0" xfId="0" applyAlignment="1">
      <alignment horizontal="center"/>
    </xf>
    <xf numFmtId="3" fontId="108" fillId="0" borderId="0" xfId="2880" applyNumberFormat="1" applyFont="1" applyAlignment="1">
      <alignment horizontal="center"/>
    </xf>
    <xf numFmtId="188" fontId="48" fillId="0" borderId="0" xfId="2239" applyNumberFormat="1" applyFont="1" applyBorder="1" applyAlignment="1" applyProtection="1">
      <alignment horizontal="center"/>
    </xf>
    <xf numFmtId="0" fontId="108" fillId="0" borderId="0" xfId="2880" applyFont="1"/>
    <xf numFmtId="0" fontId="108" fillId="0" borderId="0" xfId="0" applyFont="1" applyAlignment="1">
      <alignment horizontal="left" vertical="center" indent="1"/>
    </xf>
    <xf numFmtId="0" fontId="108" fillId="0" borderId="0" xfId="0" applyFont="1" applyAlignment="1">
      <alignment horizontal="left" wrapText="1" indent="1"/>
    </xf>
    <xf numFmtId="0" fontId="116" fillId="3" borderId="0" xfId="0" applyFont="1" applyFill="1" applyProtection="1">
      <protection hidden="1"/>
    </xf>
    <xf numFmtId="0" fontId="73" fillId="0" borderId="0" xfId="0" applyFont="1"/>
    <xf numFmtId="0" fontId="73" fillId="0" borderId="3" xfId="0" applyFont="1" applyBorder="1"/>
    <xf numFmtId="0" fontId="73" fillId="0" borderId="0" xfId="0" applyFont="1" applyAlignment="1">
      <alignment horizontal="center"/>
    </xf>
    <xf numFmtId="0" fontId="108" fillId="73" borderId="0" xfId="2239" applyNumberFormat="1" applyFont="1" applyFill="1" applyBorder="1" applyAlignment="1" applyProtection="1">
      <alignment horizontal="center"/>
      <protection locked="0"/>
    </xf>
    <xf numFmtId="0" fontId="107" fillId="0" borderId="0" xfId="0" applyFont="1"/>
    <xf numFmtId="0" fontId="109" fillId="0" borderId="0" xfId="2881" applyFont="1" applyAlignment="1">
      <alignment horizontal="left" indent="2"/>
    </xf>
    <xf numFmtId="0" fontId="123" fillId="0" borderId="0" xfId="0" applyFont="1"/>
    <xf numFmtId="0" fontId="124" fillId="0" borderId="0" xfId="0" applyFont="1" applyAlignment="1">
      <alignment vertical="center"/>
    </xf>
    <xf numFmtId="0" fontId="125" fillId="0" borderId="0" xfId="0" applyFont="1"/>
    <xf numFmtId="0" fontId="126" fillId="0" borderId="0" xfId="2880" applyFont="1" applyAlignment="1">
      <alignment vertical="top"/>
    </xf>
    <xf numFmtId="0" fontId="126" fillId="0" borderId="0" xfId="2880" applyFont="1"/>
    <xf numFmtId="0" fontId="127" fillId="0" borderId="0" xfId="0" applyFont="1"/>
    <xf numFmtId="0" fontId="128" fillId="0" borderId="0" xfId="0" applyFont="1" applyAlignment="1">
      <alignment horizontal="left" vertical="center" indent="1"/>
    </xf>
    <xf numFmtId="0" fontId="128" fillId="0" borderId="0" xfId="2880" applyFont="1"/>
    <xf numFmtId="0" fontId="129" fillId="0" borderId="0" xfId="0" applyFont="1" applyAlignment="1">
      <alignment horizontal="center"/>
    </xf>
    <xf numFmtId="0" fontId="110" fillId="0" borderId="5" xfId="0" applyFont="1" applyBorder="1"/>
    <xf numFmtId="0" fontId="110" fillId="0" borderId="5" xfId="0" applyFont="1" applyBorder="1" applyAlignment="1">
      <alignment horizontal="left"/>
    </xf>
    <xf numFmtId="0" fontId="110" fillId="0" borderId="5" xfId="0" applyFont="1" applyBorder="1" applyAlignment="1">
      <alignment horizontal="center"/>
    </xf>
    <xf numFmtId="0" fontId="107" fillId="0" borderId="0" xfId="2878" applyFont="1"/>
    <xf numFmtId="0" fontId="130" fillId="0" borderId="0" xfId="0" applyFont="1" applyAlignment="1">
      <alignment horizontal="left"/>
    </xf>
    <xf numFmtId="0" fontId="130" fillId="0" borderId="0" xfId="0" applyFont="1" applyAlignment="1">
      <alignment horizontal="left" indent="1"/>
    </xf>
    <xf numFmtId="0" fontId="127" fillId="0" borderId="0" xfId="0" applyFont="1" applyAlignment="1">
      <alignment horizontal="left"/>
    </xf>
    <xf numFmtId="0" fontId="131" fillId="0" borderId="0" xfId="0" applyFont="1" applyAlignment="1">
      <alignment horizontal="left" indent="2"/>
    </xf>
    <xf numFmtId="0" fontId="132" fillId="0" borderId="0" xfId="0" applyFont="1"/>
    <xf numFmtId="0" fontId="133" fillId="0" borderId="0" xfId="2061" applyFont="1" applyAlignment="1" applyProtection="1">
      <alignment horizontal="left" vertical="top" indent="2"/>
    </xf>
    <xf numFmtId="0" fontId="0" fillId="0" borderId="0" xfId="0" applyAlignment="1">
      <alignment horizontal="left" vertical="top" wrapText="1"/>
    </xf>
    <xf numFmtId="3" fontId="61" fillId="0" borderId="0" xfId="0" applyNumberFormat="1" applyFont="1" applyAlignment="1">
      <alignment horizontal="center" vertical="center"/>
    </xf>
    <xf numFmtId="0" fontId="44" fillId="0" borderId="0" xfId="2061" applyAlignment="1" applyProtection="1"/>
    <xf numFmtId="0" fontId="0" fillId="0" borderId="0" xfId="0" applyAlignment="1">
      <alignment vertical="center" wrapText="1"/>
    </xf>
    <xf numFmtId="0" fontId="129" fillId="0" borderId="0" xfId="0" applyFont="1" applyAlignment="1">
      <alignment horizontal="left"/>
    </xf>
    <xf numFmtId="0" fontId="128" fillId="0" borderId="0" xfId="0" applyFont="1" applyAlignment="1">
      <alignment vertical="center"/>
    </xf>
    <xf numFmtId="0" fontId="123" fillId="0" borderId="0" xfId="0" applyFont="1" applyAlignment="1">
      <alignment horizontal="left" indent="1"/>
    </xf>
    <xf numFmtId="0" fontId="111" fillId="0" borderId="0" xfId="2881" applyFont="1" applyAlignment="1">
      <alignment horizontal="left" indent="2"/>
    </xf>
    <xf numFmtId="0" fontId="134" fillId="0" borderId="0" xfId="2879" applyFont="1" applyAlignment="1">
      <alignment horizontal="left" indent="1"/>
    </xf>
    <xf numFmtId="9" fontId="134" fillId="0" borderId="0" xfId="2879" applyNumberFormat="1" applyFont="1" applyAlignment="1">
      <alignment horizontal="right"/>
    </xf>
    <xf numFmtId="0" fontId="134" fillId="0" borderId="0" xfId="2879" applyFont="1" applyAlignment="1">
      <alignment horizontal="left"/>
    </xf>
    <xf numFmtId="0" fontId="134" fillId="0" borderId="0" xfId="2881" applyFont="1" applyAlignment="1">
      <alignment horizontal="left" indent="2"/>
    </xf>
    <xf numFmtId="0" fontId="135" fillId="0" borderId="0" xfId="2879" applyFont="1" applyAlignment="1">
      <alignment horizontal="left" indent="1"/>
    </xf>
    <xf numFmtId="0" fontId="136" fillId="0" borderId="0" xfId="2880" applyFont="1"/>
    <xf numFmtId="0" fontId="136" fillId="0" borderId="0" xfId="2879" applyFont="1" applyAlignment="1">
      <alignment horizontal="left"/>
    </xf>
    <xf numFmtId="0" fontId="40" fillId="0" borderId="0" xfId="0" applyFont="1" applyAlignment="1">
      <alignment horizontal="left" vertical="center"/>
    </xf>
    <xf numFmtId="0" fontId="108" fillId="0" borderId="0" xfId="2239" applyNumberFormat="1" applyFont="1" applyFill="1" applyBorder="1" applyAlignment="1" applyProtection="1">
      <alignment horizontal="center"/>
    </xf>
    <xf numFmtId="0" fontId="136" fillId="0" borderId="0" xfId="2879" applyFont="1"/>
    <xf numFmtId="0" fontId="107" fillId="0" borderId="0" xfId="0" applyFont="1" applyAlignment="1">
      <alignment horizontal="left" vertical="center"/>
    </xf>
    <xf numFmtId="3" fontId="108" fillId="0" borderId="0" xfId="2879" applyNumberFormat="1" applyFont="1" applyAlignment="1">
      <alignment horizontal="center"/>
    </xf>
    <xf numFmtId="0" fontId="108" fillId="0" borderId="0" xfId="2881" applyFont="1" applyAlignment="1">
      <alignment horizontal="left"/>
    </xf>
    <xf numFmtId="0" fontId="107" fillId="0" borderId="3" xfId="2880" applyFont="1" applyBorder="1" applyAlignment="1">
      <alignment horizontal="center"/>
    </xf>
    <xf numFmtId="0" fontId="74" fillId="0" borderId="0" xfId="2503" applyAlignment="1">
      <alignment horizontal="center" vertical="top" wrapText="1"/>
    </xf>
    <xf numFmtId="0" fontId="2" fillId="3" borderId="0" xfId="0" applyFont="1" applyFill="1" applyAlignment="1" applyProtection="1">
      <alignment vertical="center"/>
      <protection hidden="1"/>
    </xf>
    <xf numFmtId="0" fontId="108" fillId="0" borderId="0" xfId="2879" applyFont="1"/>
    <xf numFmtId="0" fontId="108" fillId="0" borderId="0" xfId="2879" applyFont="1" applyAlignment="1">
      <alignment horizontal="left"/>
    </xf>
    <xf numFmtId="0" fontId="40" fillId="0" borderId="113" xfId="0" applyFont="1" applyBorder="1" applyAlignment="1">
      <alignment vertical="center"/>
    </xf>
    <xf numFmtId="0" fontId="40" fillId="0" borderId="3" xfId="0" applyFont="1" applyBorder="1" applyAlignment="1">
      <alignment vertical="center"/>
    </xf>
    <xf numFmtId="0" fontId="138" fillId="0" borderId="0" xfId="0" applyFont="1" applyAlignment="1">
      <alignment horizontal="center"/>
    </xf>
    <xf numFmtId="0" fontId="139" fillId="0" borderId="0" xfId="2879" applyFont="1" applyAlignment="1">
      <alignment horizontal="left" indent="1"/>
    </xf>
    <xf numFmtId="0" fontId="140" fillId="0" borderId="0" xfId="2879" applyFont="1" applyAlignment="1">
      <alignment horizontal="left" indent="1"/>
    </xf>
    <xf numFmtId="0" fontId="141" fillId="0" borderId="0" xfId="2880" applyFont="1"/>
    <xf numFmtId="0" fontId="141" fillId="0" borderId="0" xfId="2879" applyFont="1" applyAlignment="1">
      <alignment horizontal="left"/>
    </xf>
    <xf numFmtId="190" fontId="141" fillId="0" borderId="0" xfId="2879" applyNumberFormat="1" applyFont="1" applyAlignment="1">
      <alignment horizontal="center"/>
    </xf>
    <xf numFmtId="190" fontId="141" fillId="0" borderId="0" xfId="2879" applyNumberFormat="1" applyFont="1"/>
    <xf numFmtId="164" fontId="141" fillId="0" borderId="0" xfId="2879" applyNumberFormat="1" applyFont="1"/>
    <xf numFmtId="3" fontId="134" fillId="0" borderId="0" xfId="2879" applyNumberFormat="1" applyFont="1" applyAlignment="1">
      <alignment horizontal="right"/>
    </xf>
    <xf numFmtId="190" fontId="142" fillId="0" borderId="0" xfId="2879" applyNumberFormat="1" applyFont="1"/>
    <xf numFmtId="0" fontId="142" fillId="0" borderId="0" xfId="2879" applyFont="1" applyAlignment="1">
      <alignment horizontal="left"/>
    </xf>
    <xf numFmtId="0" fontId="142" fillId="0" borderId="0" xfId="2879" applyFont="1"/>
    <xf numFmtId="3" fontId="111" fillId="0" borderId="0" xfId="2879" applyNumberFormat="1" applyFont="1" applyAlignment="1">
      <alignment horizontal="right"/>
    </xf>
    <xf numFmtId="190" fontId="108" fillId="0" borderId="0" xfId="2879" applyNumberFormat="1" applyFont="1"/>
    <xf numFmtId="164" fontId="108" fillId="0" borderId="0" xfId="2879" applyNumberFormat="1" applyFont="1"/>
    <xf numFmtId="0" fontId="143" fillId="0" borderId="0" xfId="0" applyFont="1" applyAlignment="1">
      <alignment vertical="center"/>
    </xf>
    <xf numFmtId="0" fontId="127" fillId="0" borderId="0" xfId="0" applyFont="1" applyAlignment="1">
      <alignment vertical="center"/>
    </xf>
    <xf numFmtId="0" fontId="108" fillId="0" borderId="0" xfId="2881" applyFont="1" applyAlignment="1">
      <alignment horizontal="left" indent="2"/>
    </xf>
    <xf numFmtId="190" fontId="128" fillId="0" borderId="0" xfId="2879" applyNumberFormat="1" applyFont="1" applyAlignment="1">
      <alignment horizontal="center"/>
    </xf>
    <xf numFmtId="3" fontId="2" fillId="0" borderId="0" xfId="0" applyNumberFormat="1" applyFont="1" applyAlignment="1">
      <alignment horizontal="center"/>
    </xf>
    <xf numFmtId="0" fontId="92" fillId="0" borderId="0" xfId="0" applyFont="1" applyAlignment="1">
      <alignment horizontal="center" vertical="center"/>
    </xf>
    <xf numFmtId="0" fontId="93" fillId="0" borderId="0" xfId="0" applyFont="1" applyAlignment="1">
      <alignment horizontal="center" vertical="center"/>
    </xf>
    <xf numFmtId="0" fontId="0" fillId="0" borderId="109" xfId="0" applyBorder="1"/>
    <xf numFmtId="0" fontId="0" fillId="0" borderId="4" xfId="0" applyBorder="1"/>
    <xf numFmtId="0" fontId="0" fillId="0" borderId="113" xfId="0" applyBorder="1"/>
    <xf numFmtId="0" fontId="82" fillId="0" borderId="0" xfId="2504" applyFill="1" applyAlignment="1">
      <alignment horizontal="center" vertical="center" wrapText="1"/>
    </xf>
    <xf numFmtId="0" fontId="108" fillId="0" borderId="115" xfId="2880" applyFont="1" applyBorder="1" applyAlignment="1">
      <alignment vertical="center" wrapText="1"/>
    </xf>
    <xf numFmtId="0" fontId="108" fillId="0" borderId="0" xfId="0" applyFont="1" applyAlignment="1">
      <alignment vertical="center" wrapText="1"/>
    </xf>
    <xf numFmtId="0" fontId="108" fillId="0" borderId="115" xfId="0" applyFont="1" applyBorder="1" applyAlignment="1">
      <alignment vertical="center" wrapText="1"/>
    </xf>
    <xf numFmtId="0" fontId="108" fillId="0" borderId="0" xfId="2880" applyFont="1" applyAlignment="1">
      <alignment vertical="center" wrapText="1"/>
    </xf>
    <xf numFmtId="186" fontId="37" fillId="0" borderId="0" xfId="2506" applyNumberFormat="1" applyFont="1" applyAlignment="1">
      <alignment horizontal="center" vertical="top"/>
    </xf>
    <xf numFmtId="186" fontId="63" fillId="0" borderId="0" xfId="2506" applyNumberFormat="1" applyFont="1" applyAlignment="1">
      <alignment horizontal="center" vertical="top"/>
    </xf>
    <xf numFmtId="2" fontId="37" fillId="0" borderId="0" xfId="2506" applyNumberFormat="1" applyFont="1" applyAlignment="1">
      <alignment horizontal="center" vertical="top"/>
    </xf>
    <xf numFmtId="2" fontId="63" fillId="0" borderId="0" xfId="2506" applyNumberFormat="1" applyFont="1" applyAlignment="1">
      <alignment horizontal="center" vertical="top"/>
    </xf>
    <xf numFmtId="0" fontId="37" fillId="0" borderId="0" xfId="2001" applyAlignment="1">
      <alignment horizontal="center" vertical="top"/>
    </xf>
    <xf numFmtId="0" fontId="63" fillId="0" borderId="0" xfId="2001" applyFont="1" applyAlignment="1">
      <alignment horizontal="center" vertical="top"/>
    </xf>
    <xf numFmtId="0" fontId="86" fillId="68" borderId="5" xfId="2000" applyFont="1" applyFill="1" applyBorder="1" applyAlignment="1" applyProtection="1">
      <alignment horizontal="center" vertical="center" wrapText="1"/>
      <protection hidden="1"/>
    </xf>
    <xf numFmtId="0" fontId="86" fillId="68" borderId="4" xfId="2000" applyFont="1" applyFill="1" applyBorder="1" applyAlignment="1" applyProtection="1">
      <alignment horizontal="center" vertical="center" wrapText="1"/>
      <protection hidden="1"/>
    </xf>
    <xf numFmtId="0" fontId="2" fillId="35" borderId="117" xfId="2878" quotePrefix="1" applyFill="1" applyBorder="1" applyAlignment="1">
      <alignment horizontal="left"/>
    </xf>
    <xf numFmtId="0" fontId="2" fillId="35" borderId="118" xfId="2878" quotePrefix="1" applyFill="1" applyBorder="1" applyAlignment="1">
      <alignment horizontal="left"/>
    </xf>
    <xf numFmtId="0" fontId="40" fillId="35" borderId="119" xfId="2878" applyFont="1" applyFill="1" applyBorder="1" applyAlignment="1">
      <alignment horizontal="left" vertical="center"/>
    </xf>
    <xf numFmtId="0" fontId="2" fillId="35" borderId="120" xfId="2878" quotePrefix="1" applyFill="1" applyBorder="1" applyAlignment="1">
      <alignment horizontal="left"/>
    </xf>
    <xf numFmtId="0" fontId="2" fillId="35" borderId="121" xfId="2878" quotePrefix="1" applyFill="1" applyBorder="1" applyAlignment="1">
      <alignment horizontal="left"/>
    </xf>
    <xf numFmtId="0" fontId="48" fillId="0" borderId="113" xfId="0" applyFont="1" applyBorder="1" applyAlignment="1">
      <alignment horizontal="left"/>
    </xf>
    <xf numFmtId="0" fontId="40" fillId="0" borderId="113" xfId="0" applyFont="1" applyBorder="1" applyAlignment="1">
      <alignment horizontal="center" vertical="center"/>
    </xf>
    <xf numFmtId="0" fontId="40" fillId="0" borderId="3" xfId="0" applyFont="1" applyBorder="1" applyAlignment="1">
      <alignment horizontal="center" vertical="center"/>
    </xf>
    <xf numFmtId="0" fontId="48" fillId="0" borderId="3" xfId="0" applyFont="1" applyBorder="1" applyAlignment="1">
      <alignment horizontal="left"/>
    </xf>
    <xf numFmtId="0" fontId="73" fillId="0" borderId="113" xfId="0" applyFont="1" applyBorder="1"/>
    <xf numFmtId="0" fontId="67" fillId="3" borderId="114" xfId="0" applyFont="1" applyFill="1" applyBorder="1" applyProtection="1">
      <protection hidden="1"/>
    </xf>
    <xf numFmtId="0" fontId="67" fillId="3" borderId="115" xfId="0" applyFont="1" applyFill="1" applyBorder="1" applyProtection="1">
      <protection hidden="1"/>
    </xf>
    <xf numFmtId="0" fontId="48" fillId="0" borderId="113" xfId="0" applyFont="1" applyBorder="1"/>
    <xf numFmtId="0" fontId="107" fillId="0" borderId="7" xfId="2880" applyFont="1" applyBorder="1"/>
    <xf numFmtId="0" fontId="107" fillId="0" borderId="5" xfId="2880" applyFont="1" applyBorder="1"/>
    <xf numFmtId="0" fontId="73" fillId="0" borderId="4" xfId="0" applyFont="1" applyBorder="1"/>
    <xf numFmtId="0" fontId="107" fillId="0" borderId="113" xfId="2880" applyFont="1" applyBorder="1" applyAlignment="1">
      <alignment horizontal="center" vertical="top"/>
    </xf>
    <xf numFmtId="0" fontId="107" fillId="0" borderId="3" xfId="2880" applyFont="1" applyBorder="1" applyAlignment="1">
      <alignment horizontal="center" vertical="top"/>
    </xf>
    <xf numFmtId="0" fontId="107" fillId="0" borderId="3" xfId="0" applyFont="1" applyBorder="1" applyAlignment="1">
      <alignment horizontal="left" vertical="center"/>
    </xf>
    <xf numFmtId="0" fontId="107" fillId="0" borderId="3" xfId="0" applyFont="1" applyBorder="1" applyAlignment="1">
      <alignment horizontal="center" vertical="center"/>
    </xf>
    <xf numFmtId="0" fontId="107" fillId="0" borderId="113" xfId="0" applyFont="1" applyBorder="1" applyAlignment="1">
      <alignment horizontal="center" vertical="center"/>
    </xf>
    <xf numFmtId="0" fontId="137" fillId="3" borderId="113" xfId="0" applyFont="1" applyFill="1" applyBorder="1" applyAlignment="1" applyProtection="1">
      <alignment horizontal="center" wrapText="1"/>
      <protection hidden="1"/>
    </xf>
    <xf numFmtId="0" fontId="137" fillId="3" borderId="3" xfId="0" applyFont="1" applyFill="1" applyBorder="1" applyAlignment="1" applyProtection="1">
      <alignment horizontal="center" wrapText="1"/>
      <protection hidden="1"/>
    </xf>
    <xf numFmtId="9" fontId="4" fillId="72" borderId="123" xfId="2506" applyFont="1" applyFill="1" applyBorder="1" applyAlignment="1">
      <alignment horizontal="center" vertical="center"/>
    </xf>
    <xf numFmtId="0" fontId="0" fillId="72" borderId="124" xfId="0" applyFill="1" applyBorder="1"/>
    <xf numFmtId="0" fontId="0" fillId="3" borderId="125" xfId="0" applyFill="1" applyBorder="1"/>
    <xf numFmtId="0" fontId="67" fillId="0" borderId="64" xfId="0" applyFont="1" applyBorder="1"/>
    <xf numFmtId="44" fontId="94" fillId="67" borderId="64" xfId="1" applyFont="1" applyFill="1" applyBorder="1" applyAlignment="1">
      <alignment horizontal="left"/>
    </xf>
    <xf numFmtId="0" fontId="94" fillId="0" borderId="64" xfId="2503" applyFont="1" applyBorder="1">
      <alignment vertical="top" wrapText="1"/>
    </xf>
    <xf numFmtId="0" fontId="94" fillId="0" borderId="64" xfId="2503" applyFont="1" applyBorder="1" applyAlignment="1">
      <alignment horizontal="left" vertical="center" wrapText="1"/>
    </xf>
    <xf numFmtId="9" fontId="67" fillId="35" borderId="64" xfId="2506" applyFont="1" applyFill="1" applyBorder="1" applyAlignment="1">
      <alignment horizontal="center" vertical="center"/>
    </xf>
    <xf numFmtId="189" fontId="67" fillId="58" borderId="64" xfId="4" applyNumberFormat="1" applyFont="1" applyFill="1" applyBorder="1" applyAlignment="1" applyProtection="1">
      <alignment horizontal="center" vertical="center"/>
      <protection hidden="1"/>
    </xf>
    <xf numFmtId="0" fontId="69" fillId="69" borderId="64" xfId="0" applyFont="1" applyFill="1" applyBorder="1" applyAlignment="1">
      <alignment horizontal="center" vertical="center"/>
    </xf>
    <xf numFmtId="0" fontId="67" fillId="35" borderId="64" xfId="0" applyFont="1" applyFill="1" applyBorder="1" applyAlignment="1">
      <alignment horizontal="left" vertical="center"/>
    </xf>
    <xf numFmtId="184" fontId="67" fillId="35" borderId="64" xfId="0" applyNumberFormat="1" applyFont="1" applyFill="1" applyBorder="1" applyAlignment="1">
      <alignment horizontal="center" vertical="center"/>
    </xf>
    <xf numFmtId="39" fontId="67" fillId="35" borderId="64" xfId="4" applyNumberFormat="1" applyFont="1" applyFill="1" applyBorder="1" applyAlignment="1">
      <alignment horizontal="center" vertical="center"/>
    </xf>
    <xf numFmtId="44" fontId="67" fillId="35" borderId="64" xfId="1" applyFont="1" applyFill="1" applyBorder="1" applyAlignment="1">
      <alignment horizontal="center" vertical="center"/>
    </xf>
    <xf numFmtId="0" fontId="67" fillId="0" borderId="66" xfId="2508" applyFont="1" applyBorder="1"/>
    <xf numFmtId="0" fontId="67" fillId="67" borderId="64" xfId="0" applyFont="1" applyFill="1" applyBorder="1" applyAlignment="1" applyProtection="1">
      <alignment horizontal="left"/>
      <protection locked="0"/>
    </xf>
    <xf numFmtId="1" fontId="67" fillId="67" borderId="64" xfId="4" applyNumberFormat="1" applyFont="1" applyFill="1" applyBorder="1" applyAlignment="1" applyProtection="1">
      <alignment horizontal="left"/>
    </xf>
    <xf numFmtId="183" fontId="67" fillId="35" borderId="64" xfId="0" applyNumberFormat="1" applyFont="1" applyFill="1" applyBorder="1" applyAlignment="1">
      <alignment horizontal="center" vertical="center"/>
    </xf>
    <xf numFmtId="4" fontId="67" fillId="35" borderId="64" xfId="0" applyNumberFormat="1" applyFont="1" applyFill="1" applyBorder="1" applyAlignment="1">
      <alignment horizontal="center" vertical="center"/>
    </xf>
    <xf numFmtId="188" fontId="67" fillId="35" borderId="64" xfId="1" applyNumberFormat="1" applyFont="1" applyFill="1" applyBorder="1" applyAlignment="1">
      <alignment horizontal="center" vertical="center"/>
    </xf>
    <xf numFmtId="44" fontId="94" fillId="67" borderId="64" xfId="1" applyFont="1" applyFill="1" applyBorder="1" applyAlignment="1">
      <alignment horizontal="center" vertical="center" wrapText="1"/>
    </xf>
    <xf numFmtId="0" fontId="90" fillId="69" borderId="64" xfId="0" applyFont="1" applyFill="1" applyBorder="1" applyAlignment="1">
      <alignment horizontal="right" vertical="center"/>
    </xf>
    <xf numFmtId="184" fontId="90" fillId="69" borderId="64" xfId="0" applyNumberFormat="1" applyFont="1" applyFill="1" applyBorder="1" applyAlignment="1">
      <alignment horizontal="center" vertical="center"/>
    </xf>
    <xf numFmtId="4" fontId="90" fillId="69" borderId="64" xfId="0" applyNumberFormat="1" applyFont="1" applyFill="1" applyBorder="1" applyAlignment="1">
      <alignment horizontal="center" vertical="center"/>
    </xf>
    <xf numFmtId="44" fontId="90" fillId="69" borderId="64" xfId="1" applyFont="1" applyFill="1" applyBorder="1" applyAlignment="1">
      <alignment horizontal="center" vertical="center"/>
    </xf>
    <xf numFmtId="44" fontId="94" fillId="67" borderId="64" xfId="1" applyFont="1" applyFill="1" applyBorder="1" applyAlignment="1">
      <alignment horizontal="left" vertical="center" wrapText="1"/>
    </xf>
    <xf numFmtId="0" fontId="67" fillId="67" borderId="64" xfId="54" applyFont="1" applyFill="1" applyBorder="1"/>
    <xf numFmtId="0" fontId="67" fillId="0" borderId="64" xfId="54" applyFont="1" applyBorder="1"/>
    <xf numFmtId="0" fontId="67" fillId="58" borderId="64" xfId="54" applyFont="1" applyFill="1" applyBorder="1"/>
    <xf numFmtId="0" fontId="77" fillId="0" borderId="127" xfId="2503" applyFont="1" applyBorder="1" applyAlignment="1">
      <alignment horizontal="center" vertical="top" wrapText="1"/>
    </xf>
    <xf numFmtId="0" fontId="2" fillId="0" borderId="66" xfId="2503" applyFont="1" applyBorder="1" applyAlignment="1">
      <alignment vertical="center" wrapText="1"/>
    </xf>
    <xf numFmtId="0" fontId="2" fillId="0" borderId="127" xfId="2503" applyFont="1" applyBorder="1" applyAlignment="1">
      <alignment vertical="center" wrapText="1"/>
    </xf>
    <xf numFmtId="0" fontId="2" fillId="0" borderId="128" xfId="2503" applyFont="1" applyBorder="1" applyAlignment="1">
      <alignment horizontal="center" vertical="center" wrapText="1"/>
    </xf>
    <xf numFmtId="0" fontId="77" fillId="0" borderId="64" xfId="2503" applyFont="1" applyBorder="1" applyAlignment="1">
      <alignment horizontal="center" vertical="center" wrapText="1"/>
    </xf>
    <xf numFmtId="187" fontId="78" fillId="35" borderId="128" xfId="2503" applyNumberFormat="1" applyFont="1" applyFill="1" applyBorder="1" applyAlignment="1">
      <alignment horizontal="center" vertical="center" shrinkToFit="1"/>
    </xf>
    <xf numFmtId="187" fontId="78" fillId="0" borderId="128" xfId="2503" applyNumberFormat="1" applyFont="1" applyBorder="1" applyAlignment="1">
      <alignment horizontal="center" vertical="center" shrinkToFit="1"/>
    </xf>
    <xf numFmtId="0" fontId="67" fillId="35" borderId="64" xfId="0" applyFont="1" applyFill="1" applyBorder="1"/>
    <xf numFmtId="0" fontId="80" fillId="0" borderId="128" xfId="2001" applyFont="1" applyBorder="1" applyAlignment="1">
      <alignment horizontal="left" vertical="top"/>
    </xf>
    <xf numFmtId="0" fontId="80" fillId="0" borderId="64" xfId="2001" applyFont="1" applyBorder="1" applyAlignment="1">
      <alignment horizontal="left" vertical="top"/>
    </xf>
    <xf numFmtId="0" fontId="65" fillId="0" borderId="64" xfId="0" applyFont="1" applyBorder="1" applyAlignment="1">
      <alignment horizontal="left" vertical="center" wrapText="1"/>
    </xf>
    <xf numFmtId="2" fontId="65" fillId="0" borderId="64" xfId="0" applyNumberFormat="1" applyFont="1" applyBorder="1" applyAlignment="1">
      <alignment horizontal="center" vertical="center" wrapText="1"/>
    </xf>
    <xf numFmtId="0" fontId="65" fillId="0" borderId="64" xfId="0" applyFont="1" applyBorder="1" applyAlignment="1">
      <alignment horizontal="center" vertical="center" wrapText="1"/>
    </xf>
    <xf numFmtId="0" fontId="37" fillId="0" borderId="64" xfId="2001" applyBorder="1" applyAlignment="1">
      <alignment horizontal="left" vertical="top"/>
    </xf>
    <xf numFmtId="0" fontId="37" fillId="0" borderId="128" xfId="2001" applyBorder="1" applyAlignment="1">
      <alignment horizontal="left" vertical="top"/>
    </xf>
    <xf numFmtId="3" fontId="37" fillId="0" borderId="64" xfId="2001" applyNumberFormat="1" applyBorder="1" applyAlignment="1">
      <alignment horizontal="left" vertical="top"/>
    </xf>
    <xf numFmtId="0" fontId="37" fillId="0" borderId="64" xfId="2001" applyBorder="1" applyAlignment="1">
      <alignment horizontal="center" vertical="top"/>
    </xf>
    <xf numFmtId="0" fontId="100" fillId="0" borderId="64" xfId="2001" applyFont="1" applyBorder="1" applyAlignment="1">
      <alignment horizontal="left" vertical="top"/>
    </xf>
    <xf numFmtId="0" fontId="101" fillId="0" borderId="128" xfId="2001" applyFont="1" applyBorder="1"/>
    <xf numFmtId="9" fontId="37" fillId="0" borderId="64" xfId="2875" applyFont="1" applyBorder="1"/>
    <xf numFmtId="10" fontId="0" fillId="0" borderId="64" xfId="2875" applyNumberFormat="1" applyFont="1" applyFill="1" applyBorder="1" applyAlignment="1">
      <alignment horizontal="left" vertical="top"/>
    </xf>
    <xf numFmtId="0" fontId="37" fillId="35" borderId="128" xfId="2001" applyFill="1" applyBorder="1" applyAlignment="1">
      <alignment horizontal="left" vertical="top"/>
    </xf>
    <xf numFmtId="0" fontId="37" fillId="35" borderId="64" xfId="2001" applyFill="1" applyBorder="1" applyAlignment="1">
      <alignment horizontal="left" vertical="top"/>
    </xf>
    <xf numFmtId="10" fontId="0" fillId="35" borderId="64" xfId="2875" applyNumberFormat="1" applyFont="1" applyFill="1" applyBorder="1" applyAlignment="1">
      <alignment horizontal="left" vertical="top"/>
    </xf>
    <xf numFmtId="0" fontId="67" fillId="35" borderId="64" xfId="0" applyFont="1" applyFill="1" applyBorder="1" applyAlignment="1">
      <alignment horizontal="left"/>
    </xf>
    <xf numFmtId="0" fontId="67" fillId="0" borderId="64" xfId="0" applyFont="1" applyBorder="1" applyAlignment="1">
      <alignment horizontal="left"/>
    </xf>
    <xf numFmtId="186" fontId="0" fillId="0" borderId="64" xfId="2875" applyNumberFormat="1" applyFont="1" applyFill="1" applyBorder="1" applyAlignment="1">
      <alignment horizontal="left" vertical="top"/>
    </xf>
    <xf numFmtId="0" fontId="66" fillId="0" borderId="64" xfId="0" applyFont="1" applyBorder="1" applyAlignment="1">
      <alignment horizontal="left"/>
    </xf>
    <xf numFmtId="0" fontId="66" fillId="0" borderId="64" xfId="0" applyFont="1" applyBorder="1" applyAlignment="1">
      <alignment horizontal="center"/>
    </xf>
    <xf numFmtId="0" fontId="65" fillId="0" borderId="66" xfId="0" applyFont="1" applyBorder="1" applyAlignment="1">
      <alignment vertical="center" wrapText="1"/>
    </xf>
    <xf numFmtId="184" fontId="67" fillId="0" borderId="64" xfId="0" applyNumberFormat="1" applyFont="1" applyBorder="1"/>
    <xf numFmtId="166" fontId="0" fillId="0" borderId="64" xfId="2877" applyNumberFormat="1" applyFont="1" applyFill="1" applyBorder="1" applyAlignment="1">
      <alignment horizontal="left" vertical="top"/>
    </xf>
    <xf numFmtId="1" fontId="37" fillId="0" borderId="64" xfId="2001" applyNumberFormat="1" applyBorder="1" applyAlignment="1">
      <alignment horizontal="left" vertical="top"/>
    </xf>
    <xf numFmtId="184" fontId="37" fillId="0" borderId="64" xfId="2001" applyNumberFormat="1" applyBorder="1" applyAlignment="1">
      <alignment horizontal="left" vertical="top"/>
    </xf>
    <xf numFmtId="0" fontId="0" fillId="0" borderId="129" xfId="0" applyBorder="1"/>
    <xf numFmtId="0" fontId="0" fillId="0" borderId="126" xfId="0" applyBorder="1"/>
    <xf numFmtId="0" fontId="0" fillId="0" borderId="130" xfId="0" applyBorder="1"/>
    <xf numFmtId="0" fontId="66" fillId="0" borderId="66" xfId="0" applyFont="1" applyBorder="1"/>
    <xf numFmtId="0" fontId="66" fillId="0" borderId="127" xfId="0" applyFont="1" applyBorder="1"/>
    <xf numFmtId="0" fontId="65" fillId="0" borderId="64" xfId="0" applyFont="1" applyBorder="1" applyAlignment="1">
      <alignment horizontal="left" wrapText="1"/>
    </xf>
    <xf numFmtId="2" fontId="65" fillId="0" borderId="64" xfId="0" applyNumberFormat="1" applyFont="1" applyBorder="1" applyAlignment="1">
      <alignment horizontal="center" wrapText="1"/>
    </xf>
    <xf numFmtId="0" fontId="66" fillId="0" borderId="64" xfId="2506" applyNumberFormat="1" applyFont="1" applyFill="1" applyBorder="1" applyAlignment="1">
      <alignment horizontal="center"/>
    </xf>
    <xf numFmtId="0" fontId="65" fillId="0" borderId="66" xfId="0" applyFont="1" applyBorder="1" applyAlignment="1">
      <alignment wrapText="1"/>
    </xf>
    <xf numFmtId="0" fontId="80" fillId="0" borderId="64" xfId="0" applyFont="1" applyBorder="1" applyAlignment="1">
      <alignment horizontal="left" vertical="top"/>
    </xf>
    <xf numFmtId="0" fontId="66" fillId="0" borderId="64" xfId="0" applyFont="1" applyBorder="1"/>
    <xf numFmtId="0" fontId="0" fillId="0" borderId="64" xfId="0" applyBorder="1" applyAlignment="1">
      <alignment horizontal="left" vertical="top"/>
    </xf>
    <xf numFmtId="3" fontId="0" fillId="0" borderId="64" xfId="0" applyNumberFormat="1" applyBorder="1" applyAlignment="1">
      <alignment horizontal="left" vertical="top"/>
    </xf>
    <xf numFmtId="0" fontId="66" fillId="0" borderId="128" xfId="0" applyFont="1" applyBorder="1"/>
    <xf numFmtId="0" fontId="65" fillId="0" borderId="64" xfId="0" applyFont="1" applyBorder="1" applyAlignment="1">
      <alignment horizontal="left" vertical="center"/>
    </xf>
    <xf numFmtId="0" fontId="79" fillId="0" borderId="64" xfId="0" applyFont="1" applyBorder="1" applyAlignment="1">
      <alignment horizontal="left" vertical="top"/>
    </xf>
    <xf numFmtId="1" fontId="0" fillId="0" borderId="64" xfId="4" applyNumberFormat="1" applyFont="1" applyFill="1" applyBorder="1" applyAlignment="1">
      <alignment horizontal="left" vertical="top"/>
    </xf>
    <xf numFmtId="1" fontId="79" fillId="0" borderId="64" xfId="4" applyNumberFormat="1" applyFont="1" applyFill="1" applyBorder="1" applyAlignment="1">
      <alignment horizontal="left" vertical="top"/>
    </xf>
    <xf numFmtId="9" fontId="67" fillId="0" borderId="64" xfId="2506" applyFont="1" applyFill="1" applyBorder="1"/>
    <xf numFmtId="44" fontId="3" fillId="3" borderId="64" xfId="1" applyFont="1" applyFill="1" applyBorder="1" applyAlignment="1">
      <alignment vertical="center" wrapText="1"/>
    </xf>
    <xf numFmtId="0" fontId="0" fillId="3" borderId="64" xfId="0" applyFill="1" applyBorder="1" applyAlignment="1">
      <alignment horizontal="center" vertical="center"/>
    </xf>
    <xf numFmtId="9" fontId="4" fillId="3" borderId="126" xfId="2506" applyFont="1" applyFill="1" applyBorder="1" applyAlignment="1">
      <alignment horizontal="center" vertical="center"/>
    </xf>
    <xf numFmtId="9" fontId="4" fillId="3" borderId="129" xfId="2506" applyFont="1" applyFill="1" applyBorder="1" applyAlignment="1">
      <alignment horizontal="center" vertical="center"/>
    </xf>
    <xf numFmtId="165" fontId="0" fillId="3" borderId="128" xfId="0" applyNumberFormat="1" applyFill="1" applyBorder="1" applyAlignment="1">
      <alignment horizontal="center"/>
    </xf>
    <xf numFmtId="0" fontId="0" fillId="3" borderId="64" xfId="0" applyFill="1" applyBorder="1"/>
    <xf numFmtId="0" fontId="0" fillId="3" borderId="66" xfId="0" applyFill="1" applyBorder="1"/>
    <xf numFmtId="0" fontId="0" fillId="3" borderId="127" xfId="0" applyFill="1" applyBorder="1"/>
    <xf numFmtId="0" fontId="0" fillId="3" borderId="128" xfId="0" applyFill="1" applyBorder="1"/>
    <xf numFmtId="0" fontId="86" fillId="68" borderId="64" xfId="2000" applyFont="1" applyFill="1" applyBorder="1" applyAlignment="1" applyProtection="1">
      <alignment horizontal="center" vertical="center" wrapText="1"/>
      <protection hidden="1"/>
    </xf>
    <xf numFmtId="0" fontId="86" fillId="69" borderId="64" xfId="0" applyFont="1" applyFill="1" applyBorder="1" applyAlignment="1" applyProtection="1">
      <alignment horizontal="center" vertical="center" wrapText="1"/>
      <protection hidden="1"/>
    </xf>
    <xf numFmtId="166" fontId="86" fillId="69" borderId="64" xfId="4" applyNumberFormat="1" applyFont="1" applyFill="1" applyBorder="1" applyAlignment="1" applyProtection="1">
      <alignment horizontal="center" vertical="center" wrapText="1"/>
      <protection hidden="1"/>
    </xf>
    <xf numFmtId="0" fontId="86" fillId="68" borderId="66" xfId="2000" applyFont="1" applyFill="1" applyBorder="1" applyAlignment="1" applyProtection="1">
      <alignment horizontal="center" vertical="center" wrapText="1"/>
      <protection hidden="1"/>
    </xf>
    <xf numFmtId="0" fontId="3" fillId="35" borderId="64" xfId="2001" applyFont="1" applyFill="1" applyBorder="1" applyAlignment="1">
      <alignment horizontal="center" vertical="center"/>
    </xf>
    <xf numFmtId="0" fontId="3" fillId="35" borderId="64" xfId="0" applyFont="1" applyFill="1" applyBorder="1" applyAlignment="1">
      <alignment horizontal="center" vertical="center"/>
    </xf>
    <xf numFmtId="9" fontId="3" fillId="35" borderId="64" xfId="2506" applyFont="1" applyFill="1" applyBorder="1" applyAlignment="1">
      <alignment horizontal="center" vertical="center"/>
    </xf>
    <xf numFmtId="44" fontId="3" fillId="35" borderId="64" xfId="2507" applyFont="1" applyFill="1" applyBorder="1" applyAlignment="1" applyProtection="1">
      <alignment horizontal="left" vertical="center"/>
    </xf>
    <xf numFmtId="0" fontId="3" fillId="35" borderId="64" xfId="0" applyFont="1" applyFill="1" applyBorder="1" applyAlignment="1" applyProtection="1">
      <alignment vertical="center"/>
      <protection hidden="1"/>
    </xf>
    <xf numFmtId="0" fontId="3" fillId="35" borderId="66" xfId="0" applyFont="1" applyFill="1" applyBorder="1" applyAlignment="1" applyProtection="1">
      <alignment vertical="center"/>
      <protection hidden="1"/>
    </xf>
    <xf numFmtId="0" fontId="3" fillId="78" borderId="64" xfId="0" applyFont="1" applyFill="1" applyBorder="1" applyAlignment="1" applyProtection="1">
      <alignment horizontal="left" vertical="center"/>
      <protection locked="0"/>
    </xf>
    <xf numFmtId="0" fontId="3" fillId="35" borderId="126" xfId="0" applyFont="1" applyFill="1" applyBorder="1" applyAlignment="1">
      <alignment horizontal="center" vertical="center"/>
    </xf>
    <xf numFmtId="1" fontId="3" fillId="78" borderId="64" xfId="0" applyNumberFormat="1" applyFont="1" applyFill="1" applyBorder="1" applyAlignment="1" applyProtection="1">
      <alignment horizontal="center" vertical="center"/>
      <protection locked="0"/>
    </xf>
    <xf numFmtId="166" fontId="3" fillId="78" borderId="64" xfId="4" applyNumberFormat="1" applyFont="1" applyFill="1" applyBorder="1" applyAlignment="1" applyProtection="1">
      <alignment horizontal="center" vertical="center"/>
      <protection locked="0"/>
    </xf>
    <xf numFmtId="0" fontId="3" fillId="78" borderId="64" xfId="0" applyFont="1" applyFill="1" applyBorder="1" applyAlignment="1" applyProtection="1">
      <alignment horizontal="center" vertical="center"/>
      <protection locked="0"/>
    </xf>
    <xf numFmtId="9" fontId="3" fillId="78" borderId="64" xfId="2506" applyFont="1" applyFill="1" applyBorder="1" applyAlignment="1" applyProtection="1">
      <alignment horizontal="center" vertical="center"/>
      <protection locked="0"/>
    </xf>
    <xf numFmtId="43" fontId="3" fillId="35" borderId="64" xfId="2507" applyNumberFormat="1" applyFont="1" applyFill="1" applyBorder="1" applyAlignment="1" applyProtection="1">
      <alignment horizontal="left" vertical="center"/>
      <protection hidden="1"/>
    </xf>
    <xf numFmtId="0" fontId="107" fillId="0" borderId="64" xfId="0" applyFont="1" applyBorder="1"/>
    <xf numFmtId="0" fontId="2" fillId="0" borderId="64" xfId="0" applyFont="1" applyBorder="1"/>
    <xf numFmtId="0" fontId="0" fillId="0" borderId="64" xfId="0" applyBorder="1"/>
    <xf numFmtId="0" fontId="48" fillId="0" borderId="64" xfId="0" applyFont="1" applyBorder="1" applyAlignment="1">
      <alignment horizontal="left"/>
    </xf>
    <xf numFmtId="0" fontId="107" fillId="0" borderId="66" xfId="0" applyFont="1" applyBorder="1"/>
    <xf numFmtId="0" fontId="107" fillId="0" borderId="64" xfId="0" applyFont="1" applyBorder="1" applyAlignment="1">
      <alignment horizontal="center" vertical="center" wrapText="1"/>
    </xf>
    <xf numFmtId="1" fontId="3" fillId="35" borderId="64" xfId="0" applyNumberFormat="1" applyFont="1" applyFill="1" applyBorder="1" applyAlignment="1" applyProtection="1">
      <alignment horizontal="center" vertical="center"/>
      <protection locked="0"/>
    </xf>
    <xf numFmtId="0" fontId="109" fillId="0" borderId="64" xfId="2879" applyFont="1" applyBorder="1" applyAlignment="1">
      <alignment horizontal="left"/>
    </xf>
    <xf numFmtId="164" fontId="3" fillId="35" borderId="64" xfId="0" applyNumberFormat="1" applyFont="1" applyFill="1" applyBorder="1" applyAlignment="1" applyProtection="1">
      <alignment horizontal="center" vertical="center"/>
      <protection locked="0"/>
    </xf>
    <xf numFmtId="0" fontId="109" fillId="0" borderId="64" xfId="2879" applyFont="1" applyBorder="1" applyAlignment="1">
      <alignment horizontal="left" vertical="center"/>
    </xf>
    <xf numFmtId="0" fontId="110" fillId="0" borderId="64" xfId="0" applyFont="1" applyBorder="1"/>
    <xf numFmtId="0" fontId="107" fillId="0" borderId="64" xfId="0" applyFont="1" applyBorder="1" applyAlignment="1">
      <alignment horizontal="center" vertical="center"/>
    </xf>
    <xf numFmtId="0" fontId="108" fillId="0" borderId="64" xfId="0" applyFont="1" applyBorder="1" applyAlignment="1">
      <alignment horizontal="center" vertical="center"/>
    </xf>
    <xf numFmtId="0" fontId="107" fillId="0" borderId="64" xfId="0" applyFont="1" applyBorder="1" applyAlignment="1">
      <alignment horizontal="center"/>
    </xf>
    <xf numFmtId="0" fontId="107" fillId="0" borderId="64" xfId="2878" applyFont="1" applyBorder="1" applyAlignment="1">
      <alignment horizontal="left" vertical="center" wrapText="1"/>
    </xf>
    <xf numFmtId="9" fontId="108" fillId="73" borderId="64" xfId="0" applyNumberFormat="1" applyFont="1" applyFill="1" applyBorder="1" applyAlignment="1" applyProtection="1">
      <alignment horizontal="center" vertical="center"/>
      <protection locked="0"/>
    </xf>
    <xf numFmtId="3" fontId="3" fillId="35" borderId="64" xfId="0" applyNumberFormat="1" applyFont="1" applyFill="1" applyBorder="1" applyAlignment="1" applyProtection="1">
      <alignment horizontal="center" vertical="center"/>
      <protection locked="0"/>
    </xf>
    <xf numFmtId="189" fontId="3" fillId="35" borderId="64" xfId="0" applyNumberFormat="1" applyFont="1" applyFill="1" applyBorder="1" applyAlignment="1" applyProtection="1">
      <alignment horizontal="center" vertical="center"/>
      <protection locked="0"/>
    </xf>
    <xf numFmtId="44" fontId="3" fillId="35" borderId="64" xfId="1" applyFont="1" applyFill="1" applyBorder="1" applyAlignment="1" applyProtection="1">
      <alignment horizontal="center" vertical="center"/>
      <protection locked="0"/>
    </xf>
    <xf numFmtId="0" fontId="108" fillId="0" borderId="64" xfId="0" applyFont="1" applyBorder="1" applyAlignment="1">
      <alignment vertical="center"/>
    </xf>
    <xf numFmtId="0" fontId="3" fillId="35" borderId="66" xfId="0" applyFont="1" applyFill="1" applyBorder="1" applyAlignment="1" applyProtection="1">
      <alignment horizontal="center" vertical="center"/>
      <protection hidden="1"/>
    </xf>
    <xf numFmtId="0" fontId="3" fillId="78" borderId="64" xfId="4" applyNumberFormat="1" applyFont="1" applyFill="1" applyBorder="1" applyAlignment="1" applyProtection="1">
      <alignment horizontal="center" vertical="center"/>
      <protection locked="0"/>
    </xf>
    <xf numFmtId="44" fontId="3" fillId="35" borderId="64" xfId="1" applyFont="1" applyFill="1" applyBorder="1" applyAlignment="1" applyProtection="1">
      <alignment horizontal="left" vertical="center"/>
      <protection hidden="1"/>
    </xf>
    <xf numFmtId="0" fontId="107" fillId="0" borderId="64" xfId="2878" applyFont="1" applyBorder="1" applyAlignment="1">
      <alignment horizontal="center"/>
    </xf>
    <xf numFmtId="0" fontId="48" fillId="0" borderId="126" xfId="0" applyFont="1" applyBorder="1" applyProtection="1">
      <protection locked="0"/>
    </xf>
    <xf numFmtId="0" fontId="107" fillId="0" borderId="64" xfId="0" applyFont="1" applyBorder="1" applyAlignment="1" applyProtection="1">
      <alignment horizontal="center" vertical="center" wrapText="1"/>
      <protection locked="0"/>
    </xf>
    <xf numFmtId="0" fontId="108" fillId="0" borderId="64" xfId="0" applyFont="1" applyBorder="1" applyAlignment="1">
      <alignment horizontal="left" vertical="center" wrapText="1" indent="2"/>
    </xf>
    <xf numFmtId="3" fontId="108" fillId="0" borderId="64" xfId="0" applyNumberFormat="1" applyFont="1" applyBorder="1" applyAlignment="1">
      <alignment horizontal="center" vertical="center"/>
    </xf>
    <xf numFmtId="167" fontId="108" fillId="0" borderId="64" xfId="0" applyNumberFormat="1" applyFont="1" applyBorder="1" applyAlignment="1">
      <alignment horizontal="center" vertical="center"/>
    </xf>
    <xf numFmtId="166" fontId="108" fillId="0" borderId="64" xfId="0" applyNumberFormat="1" applyFont="1" applyBorder="1" applyAlignment="1">
      <alignment horizontal="center" vertical="center"/>
    </xf>
    <xf numFmtId="0" fontId="108" fillId="0" borderId="64" xfId="2878" applyFont="1" applyBorder="1" applyAlignment="1">
      <alignment horizontal="left" indent="1"/>
    </xf>
    <xf numFmtId="9" fontId="67" fillId="67" borderId="64" xfId="2506" applyFont="1" applyFill="1" applyBorder="1"/>
    <xf numFmtId="0" fontId="67" fillId="67" borderId="64" xfId="54" applyFont="1" applyFill="1" applyBorder="1" applyAlignment="1">
      <alignment horizontal="center"/>
    </xf>
    <xf numFmtId="166" fontId="108" fillId="0" borderId="64" xfId="0" applyNumberFormat="1" applyFont="1" applyBorder="1" applyAlignment="1">
      <alignment horizontal="left" vertical="center" wrapText="1" indent="2"/>
    </xf>
    <xf numFmtId="0" fontId="107" fillId="0" borderId="64" xfId="0" applyFont="1" applyBorder="1" applyAlignment="1">
      <alignment vertical="center"/>
    </xf>
    <xf numFmtId="189" fontId="108" fillId="73" borderId="64" xfId="2880" applyNumberFormat="1" applyFont="1" applyFill="1" applyBorder="1" applyAlignment="1" applyProtection="1">
      <alignment horizontal="center" vertical="center"/>
      <protection locked="0"/>
    </xf>
    <xf numFmtId="0" fontId="108" fillId="0" borderId="64" xfId="0" applyFont="1" applyBorder="1" applyAlignment="1" applyProtection="1">
      <alignment horizontal="left" wrapText="1"/>
      <protection locked="0"/>
    </xf>
    <xf numFmtId="0" fontId="108" fillId="0" borderId="64" xfId="0" applyFont="1" applyBorder="1" applyProtection="1">
      <protection locked="0"/>
    </xf>
    <xf numFmtId="9" fontId="108" fillId="73" borderId="64" xfId="2879" applyNumberFormat="1" applyFont="1" applyFill="1" applyBorder="1" applyAlignment="1" applyProtection="1">
      <alignment horizontal="center"/>
      <protection locked="0"/>
    </xf>
    <xf numFmtId="3" fontId="108" fillId="73" borderId="64" xfId="2880" applyNumberFormat="1" applyFont="1" applyFill="1" applyBorder="1" applyAlignment="1" applyProtection="1">
      <alignment horizontal="center"/>
      <protection locked="0"/>
    </xf>
    <xf numFmtId="0" fontId="2" fillId="0" borderId="127" xfId="0" applyFont="1" applyBorder="1"/>
    <xf numFmtId="0" fontId="2" fillId="0" borderId="128" xfId="0" applyFont="1" applyBorder="1"/>
    <xf numFmtId="3" fontId="108" fillId="73" borderId="64" xfId="0" applyNumberFormat="1" applyFont="1" applyFill="1" applyBorder="1" applyAlignment="1" applyProtection="1">
      <alignment horizontal="center" vertical="center"/>
      <protection locked="0"/>
    </xf>
    <xf numFmtId="164" fontId="108" fillId="73" borderId="64" xfId="0" applyNumberFormat="1" applyFont="1" applyFill="1" applyBorder="1" applyAlignment="1" applyProtection="1">
      <alignment horizontal="center"/>
      <protection locked="0"/>
    </xf>
    <xf numFmtId="189" fontId="108" fillId="73" borderId="64" xfId="0" applyNumberFormat="1" applyFont="1" applyFill="1" applyBorder="1" applyAlignment="1" applyProtection="1">
      <alignment horizontal="center" vertical="center"/>
      <protection locked="0"/>
    </xf>
    <xf numFmtId="2" fontId="108" fillId="73" borderId="64" xfId="0" applyNumberFormat="1" applyFont="1" applyFill="1" applyBorder="1" applyAlignment="1" applyProtection="1">
      <alignment horizontal="center"/>
      <protection locked="0"/>
    </xf>
    <xf numFmtId="2" fontId="108" fillId="73" borderId="64" xfId="0" applyNumberFormat="1" applyFont="1" applyFill="1" applyBorder="1" applyAlignment="1" applyProtection="1">
      <alignment horizontal="center" vertical="center"/>
      <protection locked="0"/>
    </xf>
    <xf numFmtId="0" fontId="108" fillId="73" borderId="64" xfId="0" applyFont="1" applyFill="1" applyBorder="1" applyAlignment="1" applyProtection="1">
      <alignment horizontal="center"/>
      <protection locked="0"/>
    </xf>
    <xf numFmtId="3" fontId="108" fillId="0" borderId="64" xfId="2880" applyNumberFormat="1" applyFont="1" applyBorder="1" applyAlignment="1">
      <alignment horizontal="center"/>
    </xf>
    <xf numFmtId="0" fontId="108" fillId="0" borderId="64" xfId="2878" applyFont="1" applyBorder="1" applyAlignment="1">
      <alignment horizontal="left" indent="2"/>
    </xf>
    <xf numFmtId="2" fontId="108" fillId="0" borderId="64" xfId="0" applyNumberFormat="1" applyFont="1" applyBorder="1" applyAlignment="1">
      <alignment horizontal="center"/>
    </xf>
    <xf numFmtId="184" fontId="108" fillId="0" borderId="64" xfId="0" applyNumberFormat="1" applyFont="1" applyBorder="1" applyAlignment="1">
      <alignment horizontal="center"/>
    </xf>
    <xf numFmtId="0" fontId="107" fillId="0" borderId="64" xfId="0" applyFont="1" applyBorder="1" applyAlignment="1">
      <alignment vertical="center" wrapText="1"/>
    </xf>
    <xf numFmtId="4" fontId="108" fillId="0" borderId="64" xfId="0" applyNumberFormat="1" applyFont="1" applyBorder="1" applyAlignment="1">
      <alignment horizontal="center" vertical="center"/>
    </xf>
    <xf numFmtId="44" fontId="108" fillId="0" borderId="64" xfId="1" applyFont="1" applyBorder="1" applyAlignment="1">
      <alignment horizontal="center" vertical="center"/>
    </xf>
    <xf numFmtId="4" fontId="2" fillId="0" borderId="127" xfId="0" applyNumberFormat="1" applyFont="1" applyBorder="1"/>
    <xf numFmtId="166" fontId="106" fillId="69" borderId="66" xfId="4" applyNumberFormat="1" applyFont="1" applyFill="1" applyBorder="1" applyAlignment="1" applyProtection="1">
      <alignment vertical="center"/>
      <protection hidden="1"/>
    </xf>
    <xf numFmtId="166" fontId="106" fillId="69" borderId="127" xfId="4" applyNumberFormat="1" applyFont="1" applyFill="1" applyBorder="1" applyAlignment="1" applyProtection="1">
      <alignment vertical="center"/>
      <protection hidden="1"/>
    </xf>
    <xf numFmtId="166" fontId="106" fillId="69" borderId="128" xfId="4" applyNumberFormat="1" applyFont="1" applyFill="1" applyBorder="1" applyAlignment="1" applyProtection="1">
      <alignment vertical="center"/>
      <protection hidden="1"/>
    </xf>
    <xf numFmtId="189" fontId="2" fillId="78" borderId="64" xfId="4" applyNumberFormat="1" applyFont="1" applyFill="1" applyBorder="1" applyAlignment="1" applyProtection="1">
      <alignment horizontal="center" vertical="center"/>
      <protection locked="0"/>
    </xf>
    <xf numFmtId="189" fontId="127" fillId="78" borderId="64" xfId="4" applyNumberFormat="1" applyFont="1" applyFill="1" applyBorder="1" applyAlignment="1" applyProtection="1">
      <alignment horizontal="center" vertical="center"/>
      <protection locked="0"/>
    </xf>
    <xf numFmtId="0" fontId="48" fillId="0" borderId="126" xfId="0" applyFont="1" applyBorder="1" applyAlignment="1">
      <alignment horizontal="left"/>
    </xf>
    <xf numFmtId="0" fontId="107" fillId="0" borderId="66" xfId="0" applyFont="1" applyBorder="1" applyAlignment="1">
      <alignment horizontal="center"/>
    </xf>
    <xf numFmtId="0" fontId="107" fillId="0" borderId="127" xfId="0" applyFont="1" applyBorder="1" applyAlignment="1">
      <alignment horizontal="center"/>
    </xf>
    <xf numFmtId="0" fontId="107" fillId="0" borderId="128" xfId="0" applyFont="1" applyBorder="1" applyAlignment="1">
      <alignment horizontal="center"/>
    </xf>
    <xf numFmtId="0" fontId="122" fillId="0" borderId="64" xfId="2878" applyFont="1" applyBorder="1" applyAlignment="1">
      <alignment horizontal="center"/>
    </xf>
    <xf numFmtId="0" fontId="108" fillId="0" borderId="64" xfId="2878" applyFont="1" applyBorder="1" applyAlignment="1">
      <alignment horizontal="center"/>
    </xf>
    <xf numFmtId="1" fontId="108" fillId="0" borderId="64" xfId="2878" applyNumberFormat="1" applyFont="1" applyBorder="1" applyAlignment="1">
      <alignment horizontal="center"/>
    </xf>
    <xf numFmtId="3" fontId="108" fillId="0" borderId="64" xfId="2878" applyNumberFormat="1" applyFont="1" applyBorder="1" applyAlignment="1">
      <alignment horizontal="center"/>
    </xf>
    <xf numFmtId="189" fontId="108" fillId="0" borderId="64" xfId="0" applyNumberFormat="1" applyFont="1" applyBorder="1" applyAlignment="1">
      <alignment horizontal="center" vertical="center"/>
    </xf>
    <xf numFmtId="0" fontId="109" fillId="0" borderId="126" xfId="2879" applyFont="1" applyBorder="1" applyAlignment="1">
      <alignment horizontal="left"/>
    </xf>
    <xf numFmtId="0" fontId="107" fillId="0" borderId="64" xfId="0" applyFont="1" applyBorder="1" applyAlignment="1">
      <alignment horizontal="left" wrapText="1"/>
    </xf>
    <xf numFmtId="189" fontId="48" fillId="0" borderId="64" xfId="0" applyNumberFormat="1" applyFont="1" applyBorder="1" applyAlignment="1">
      <alignment horizontal="center" vertical="center"/>
    </xf>
    <xf numFmtId="0" fontId="48" fillId="0" borderId="64" xfId="0" applyFont="1" applyBorder="1" applyAlignment="1">
      <alignment horizontal="center"/>
    </xf>
    <xf numFmtId="0" fontId="73" fillId="0" borderId="64" xfId="0" applyFont="1" applyBorder="1"/>
    <xf numFmtId="0" fontId="108" fillId="73" borderId="64" xfId="2239" applyNumberFormat="1" applyFont="1" applyFill="1" applyBorder="1" applyAlignment="1" applyProtection="1">
      <alignment horizontal="center"/>
      <protection locked="0"/>
    </xf>
    <xf numFmtId="0" fontId="107" fillId="0" borderId="126" xfId="0" applyFont="1" applyBorder="1" applyAlignment="1">
      <alignment horizontal="center" vertical="center"/>
    </xf>
    <xf numFmtId="0" fontId="108" fillId="0" borderId="64" xfId="2880" applyFont="1" applyBorder="1"/>
    <xf numFmtId="0" fontId="107" fillId="0" borderId="64" xfId="2880" applyFont="1" applyBorder="1"/>
    <xf numFmtId="3" fontId="107" fillId="0" borderId="64" xfId="0" applyNumberFormat="1" applyFont="1" applyBorder="1" applyAlignment="1">
      <alignment horizontal="center" vertical="center"/>
    </xf>
    <xf numFmtId="4" fontId="107" fillId="0" borderId="64" xfId="0" applyNumberFormat="1" applyFont="1" applyBorder="1" applyAlignment="1">
      <alignment horizontal="center" vertical="center"/>
    </xf>
    <xf numFmtId="44" fontId="107" fillId="0" borderId="64" xfId="1" applyFont="1" applyBorder="1" applyAlignment="1">
      <alignment horizontal="center" vertical="center"/>
    </xf>
    <xf numFmtId="0" fontId="108" fillId="0" borderId="64" xfId="0" applyFont="1" applyBorder="1" applyAlignment="1">
      <alignment horizontal="left" wrapText="1" indent="1"/>
    </xf>
    <xf numFmtId="2" fontId="108" fillId="0" borderId="64" xfId="0" applyNumberFormat="1" applyFont="1" applyBorder="1" applyAlignment="1">
      <alignment vertical="center"/>
    </xf>
    <xf numFmtId="44" fontId="73" fillId="0" borderId="64" xfId="1" applyFont="1" applyBorder="1"/>
    <xf numFmtId="0" fontId="107" fillId="0" borderId="64" xfId="2878" applyFont="1" applyBorder="1" applyAlignment="1">
      <alignment horizontal="center" vertical="center" wrapText="1"/>
    </xf>
    <xf numFmtId="0" fontId="108" fillId="0" borderId="64" xfId="2880" quotePrefix="1" applyFont="1" applyBorder="1" applyAlignment="1">
      <alignment horizontal="left"/>
    </xf>
    <xf numFmtId="3" fontId="108" fillId="0" borderId="64" xfId="2878" applyNumberFormat="1" applyFont="1" applyBorder="1" applyAlignment="1">
      <alignment horizontal="center" vertical="center" wrapText="1"/>
    </xf>
    <xf numFmtId="189" fontId="108" fillId="0" borderId="64" xfId="0" quotePrefix="1" applyNumberFormat="1" applyFont="1" applyBorder="1" applyAlignment="1">
      <alignment horizontal="center" vertical="center"/>
    </xf>
    <xf numFmtId="166" fontId="108" fillId="0" borderId="64" xfId="0" applyNumberFormat="1" applyFont="1" applyBorder="1" applyAlignment="1">
      <alignment horizontal="center"/>
    </xf>
    <xf numFmtId="4" fontId="108" fillId="0" borderId="64" xfId="0" quotePrefix="1" applyNumberFormat="1" applyFont="1" applyBorder="1" applyAlignment="1">
      <alignment horizontal="center" vertical="center"/>
    </xf>
    <xf numFmtId="167" fontId="108" fillId="0" borderId="64" xfId="0" applyNumberFormat="1" applyFont="1" applyBorder="1" applyAlignment="1">
      <alignment horizontal="center"/>
    </xf>
    <xf numFmtId="3" fontId="108" fillId="74" borderId="64" xfId="2878" applyNumberFormat="1" applyFont="1" applyFill="1" applyBorder="1" applyAlignment="1" applyProtection="1">
      <alignment horizontal="center" vertical="center"/>
      <protection locked="0"/>
    </xf>
    <xf numFmtId="0" fontId="108" fillId="0" borderId="64" xfId="0" applyFont="1" applyBorder="1" applyAlignment="1">
      <alignment horizontal="left" vertical="center"/>
    </xf>
    <xf numFmtId="4" fontId="108" fillId="74" borderId="64" xfId="2878" applyNumberFormat="1" applyFont="1" applyFill="1" applyBorder="1" applyAlignment="1" applyProtection="1">
      <alignment horizontal="center"/>
      <protection locked="0"/>
    </xf>
    <xf numFmtId="189" fontId="108" fillId="74" borderId="64" xfId="2878" applyNumberFormat="1" applyFont="1" applyFill="1" applyBorder="1" applyAlignment="1" applyProtection="1">
      <alignment horizontal="center"/>
      <protection locked="0"/>
    </xf>
    <xf numFmtId="0" fontId="108" fillId="0" borderId="64" xfId="0" applyFont="1" applyBorder="1" applyAlignment="1">
      <alignment horizontal="left"/>
    </xf>
    <xf numFmtId="9" fontId="108" fillId="74" borderId="64" xfId="2878" applyNumberFormat="1" applyFont="1" applyFill="1" applyBorder="1" applyAlignment="1" applyProtection="1">
      <alignment horizontal="center"/>
      <protection locked="0"/>
    </xf>
    <xf numFmtId="3" fontId="108" fillId="74" borderId="64" xfId="2878" applyNumberFormat="1" applyFont="1" applyFill="1" applyBorder="1" applyAlignment="1" applyProtection="1">
      <alignment horizontal="center"/>
      <protection locked="0"/>
    </xf>
    <xf numFmtId="184" fontId="108" fillId="0" borderId="64" xfId="0" applyNumberFormat="1" applyFont="1" applyBorder="1" applyAlignment="1">
      <alignment horizontal="center" vertical="center"/>
    </xf>
    <xf numFmtId="9" fontId="108" fillId="0" borderId="64" xfId="0" applyNumberFormat="1" applyFont="1" applyBorder="1" applyAlignment="1">
      <alignment horizontal="center" vertical="center"/>
    </xf>
    <xf numFmtId="3" fontId="108" fillId="0" borderId="66" xfId="0" applyNumberFormat="1" applyFont="1" applyBorder="1" applyAlignment="1">
      <alignment horizontal="center" vertical="center"/>
    </xf>
    <xf numFmtId="3" fontId="108" fillId="0" borderId="64" xfId="0" quotePrefix="1" applyNumberFormat="1" applyFont="1" applyBorder="1" applyAlignment="1">
      <alignment horizontal="center" vertical="center"/>
    </xf>
    <xf numFmtId="1" fontId="3" fillId="76" borderId="64" xfId="0" applyNumberFormat="1" applyFont="1" applyFill="1" applyBorder="1" applyAlignment="1" applyProtection="1">
      <alignment horizontal="center" vertical="center"/>
      <protection locked="0"/>
    </xf>
    <xf numFmtId="0" fontId="40" fillId="0" borderId="126" xfId="0" applyFont="1" applyBorder="1" applyAlignment="1">
      <alignment horizontal="center" vertical="center"/>
    </xf>
    <xf numFmtId="0" fontId="2" fillId="0" borderId="64" xfId="0" applyFont="1" applyBorder="1" applyAlignment="1">
      <alignment horizontal="center"/>
    </xf>
    <xf numFmtId="0" fontId="107" fillId="0" borderId="64" xfId="2880" applyFont="1" applyBorder="1" applyAlignment="1">
      <alignment horizontal="center"/>
    </xf>
    <xf numFmtId="0" fontId="107" fillId="0" borderId="64" xfId="2880" applyFont="1" applyBorder="1" applyAlignment="1">
      <alignment horizontal="center" vertical="center"/>
    </xf>
    <xf numFmtId="0" fontId="107" fillId="0" borderId="64" xfId="0" applyFont="1" applyBorder="1" applyAlignment="1">
      <alignment horizontal="left" vertical="center"/>
    </xf>
    <xf numFmtId="9" fontId="108" fillId="77" borderId="64" xfId="2088" applyFont="1" applyFill="1" applyBorder="1" applyAlignment="1" applyProtection="1">
      <alignment horizontal="center"/>
      <protection locked="0"/>
    </xf>
    <xf numFmtId="9" fontId="66" fillId="67" borderId="64" xfId="2506" applyFont="1" applyFill="1" applyBorder="1" applyAlignment="1">
      <alignment horizontal="center"/>
    </xf>
    <xf numFmtId="0" fontId="108" fillId="0" borderId="64" xfId="2881" applyFont="1" applyBorder="1" applyAlignment="1">
      <alignment horizontal="left" indent="2"/>
    </xf>
    <xf numFmtId="3" fontId="108" fillId="77" borderId="64" xfId="2879" applyNumberFormat="1" applyFont="1" applyFill="1" applyBorder="1" applyAlignment="1" applyProtection="1">
      <alignment horizontal="center"/>
      <protection locked="0"/>
    </xf>
    <xf numFmtId="0" fontId="66" fillId="67" borderId="64" xfId="54" applyFont="1" applyFill="1" applyBorder="1" applyAlignment="1">
      <alignment horizontal="center"/>
    </xf>
    <xf numFmtId="0" fontId="108" fillId="0" borderId="64" xfId="2879" applyFont="1" applyBorder="1" applyAlignment="1">
      <alignment horizontal="left"/>
    </xf>
    <xf numFmtId="0" fontId="107" fillId="0" borderId="64" xfId="2880" applyFont="1" applyBorder="1" applyAlignment="1">
      <alignment vertical="center"/>
    </xf>
    <xf numFmtId="3" fontId="66" fillId="67" borderId="64" xfId="54" applyNumberFormat="1" applyFont="1" applyFill="1" applyBorder="1" applyAlignment="1">
      <alignment horizontal="center"/>
    </xf>
    <xf numFmtId="3" fontId="108" fillId="77" borderId="64" xfId="0" applyNumberFormat="1" applyFont="1" applyFill="1" applyBorder="1" applyAlignment="1" applyProtection="1">
      <alignment horizontal="center"/>
      <protection locked="0"/>
    </xf>
    <xf numFmtId="0" fontId="108" fillId="0" borderId="64" xfId="2881" applyFont="1" applyBorder="1" applyAlignment="1">
      <alignment horizontal="left"/>
    </xf>
    <xf numFmtId="6" fontId="109" fillId="0" borderId="64" xfId="2879" applyNumberFormat="1" applyFont="1" applyBorder="1" applyAlignment="1">
      <alignment horizontal="center"/>
    </xf>
    <xf numFmtId="0" fontId="109" fillId="0" borderId="64" xfId="2879" applyFont="1" applyBorder="1" applyAlignment="1">
      <alignment horizontal="left" indent="1"/>
    </xf>
    <xf numFmtId="9" fontId="108" fillId="77" borderId="64" xfId="0" applyNumberFormat="1" applyFont="1" applyFill="1" applyBorder="1" applyAlignment="1" applyProtection="1">
      <alignment horizontal="center" vertical="center"/>
      <protection locked="0"/>
    </xf>
    <xf numFmtId="9" fontId="108" fillId="77" borderId="64" xfId="0" applyNumberFormat="1" applyFont="1" applyFill="1" applyBorder="1" applyAlignment="1">
      <alignment horizontal="center" vertical="center"/>
    </xf>
    <xf numFmtId="3" fontId="108" fillId="77" borderId="64" xfId="2239" applyNumberFormat="1" applyFont="1" applyFill="1" applyBorder="1" applyAlignment="1" applyProtection="1">
      <alignment horizontal="center"/>
      <protection locked="0"/>
    </xf>
    <xf numFmtId="0" fontId="108" fillId="3" borderId="64" xfId="0" applyFont="1" applyFill="1" applyBorder="1" applyProtection="1">
      <protection hidden="1"/>
    </xf>
    <xf numFmtId="0" fontId="107" fillId="0" borderId="66" xfId="2880" applyFont="1" applyBorder="1" applyAlignment="1">
      <alignment horizontal="center"/>
    </xf>
    <xf numFmtId="0" fontId="107" fillId="0" borderId="128" xfId="2880" applyFont="1" applyBorder="1" applyAlignment="1">
      <alignment horizontal="center"/>
    </xf>
    <xf numFmtId="0" fontId="108" fillId="77" borderId="64" xfId="2879" applyFont="1" applyFill="1" applyBorder="1" applyAlignment="1" applyProtection="1">
      <alignment horizontal="center"/>
      <protection locked="0"/>
    </xf>
    <xf numFmtId="0" fontId="107" fillId="0" borderId="126" xfId="0" applyFont="1" applyBorder="1" applyAlignment="1">
      <alignment horizontal="left" vertical="center"/>
    </xf>
    <xf numFmtId="0" fontId="107" fillId="0" borderId="66" xfId="2239" applyNumberFormat="1" applyFont="1" applyFill="1" applyBorder="1" applyAlignment="1" applyProtection="1">
      <alignment horizontal="center"/>
    </xf>
    <xf numFmtId="0" fontId="107" fillId="0" borderId="127" xfId="2239" applyNumberFormat="1" applyFont="1" applyFill="1" applyBorder="1" applyAlignment="1" applyProtection="1">
      <alignment horizontal="center"/>
    </xf>
    <xf numFmtId="0" fontId="107" fillId="0" borderId="128" xfId="2239" applyNumberFormat="1" applyFont="1" applyFill="1" applyBorder="1" applyAlignment="1" applyProtection="1">
      <alignment horizontal="center"/>
    </xf>
    <xf numFmtId="189" fontId="66" fillId="67" borderId="64" xfId="54" applyNumberFormat="1" applyFont="1" applyFill="1" applyBorder="1" applyAlignment="1">
      <alignment horizontal="center"/>
    </xf>
    <xf numFmtId="0" fontId="108" fillId="0" borderId="64" xfId="2879" applyFont="1" applyBorder="1"/>
    <xf numFmtId="0" fontId="40" fillId="0" borderId="126" xfId="0" applyFont="1" applyBorder="1" applyAlignment="1">
      <alignment vertical="center"/>
    </xf>
    <xf numFmtId="0" fontId="67" fillId="3" borderId="130" xfId="0" applyFont="1" applyFill="1" applyBorder="1" applyProtection="1">
      <protection hidden="1"/>
    </xf>
    <xf numFmtId="0" fontId="137" fillId="3" borderId="126" xfId="0" applyFont="1" applyFill="1" applyBorder="1" applyAlignment="1" applyProtection="1">
      <alignment horizontal="center" wrapText="1"/>
      <protection hidden="1"/>
    </xf>
    <xf numFmtId="3" fontId="108" fillId="0" borderId="64" xfId="2879" applyNumberFormat="1" applyFont="1" applyBorder="1" applyAlignment="1">
      <alignment horizontal="center"/>
    </xf>
    <xf numFmtId="3" fontId="108" fillId="0" borderId="64" xfId="0" applyNumberFormat="1" applyFont="1" applyBorder="1" applyAlignment="1">
      <alignment horizontal="center"/>
    </xf>
    <xf numFmtId="189" fontId="108" fillId="0" borderId="64" xfId="0" applyNumberFormat="1" applyFont="1" applyBorder="1" applyAlignment="1">
      <alignment horizontal="center"/>
    </xf>
    <xf numFmtId="0" fontId="128" fillId="0" borderId="64" xfId="2880" applyFont="1" applyBorder="1"/>
    <xf numFmtId="0" fontId="108" fillId="0" borderId="64" xfId="0" applyFont="1" applyBorder="1"/>
    <xf numFmtId="0" fontId="107" fillId="0" borderId="64" xfId="2880" applyFont="1" applyBorder="1" applyAlignment="1">
      <alignment vertical="top"/>
    </xf>
    <xf numFmtId="0" fontId="108" fillId="0" borderId="64" xfId="0" applyFont="1" applyBorder="1" applyAlignment="1">
      <alignment vertical="top"/>
    </xf>
    <xf numFmtId="0" fontId="107" fillId="0" borderId="126" xfId="2880" applyFont="1" applyBorder="1" applyAlignment="1">
      <alignment horizontal="center" vertical="top"/>
    </xf>
    <xf numFmtId="0" fontId="107" fillId="0" borderId="66" xfId="2880" applyFont="1" applyBorder="1" applyAlignment="1">
      <alignment horizontal="left"/>
    </xf>
    <xf numFmtId="0" fontId="107" fillId="0" borderId="128" xfId="2880" applyFont="1" applyBorder="1" applyAlignment="1">
      <alignment horizontal="left"/>
    </xf>
    <xf numFmtId="164" fontId="3" fillId="78" borderId="64" xfId="0" applyNumberFormat="1" applyFont="1" applyFill="1" applyBorder="1" applyAlignment="1" applyProtection="1">
      <alignment horizontal="center" vertical="center"/>
      <protection locked="0"/>
    </xf>
    <xf numFmtId="3" fontId="108" fillId="73" borderId="64" xfId="2879" applyNumberFormat="1" applyFont="1" applyFill="1" applyBorder="1" applyAlignment="1" applyProtection="1">
      <alignment horizontal="center"/>
      <protection locked="0"/>
    </xf>
    <xf numFmtId="189" fontId="108" fillId="73" borderId="64" xfId="2879" applyNumberFormat="1" applyFont="1" applyFill="1" applyBorder="1" applyAlignment="1" applyProtection="1">
      <alignment horizontal="center"/>
      <protection locked="0"/>
    </xf>
    <xf numFmtId="38" fontId="108" fillId="73" borderId="64" xfId="2881" applyNumberFormat="1" applyFont="1" applyFill="1" applyBorder="1" applyAlignment="1" applyProtection="1">
      <alignment horizontal="center"/>
      <protection locked="0"/>
    </xf>
    <xf numFmtId="3" fontId="108" fillId="73" borderId="64" xfId="2881" applyNumberFormat="1" applyFont="1" applyFill="1" applyBorder="1" applyAlignment="1" applyProtection="1">
      <alignment horizontal="center"/>
      <protection locked="0"/>
    </xf>
    <xf numFmtId="9" fontId="108" fillId="73" borderId="64" xfId="2881" applyNumberFormat="1" applyFont="1" applyFill="1" applyBorder="1" applyAlignment="1" applyProtection="1">
      <alignment horizontal="center"/>
      <protection locked="0"/>
    </xf>
    <xf numFmtId="0" fontId="108" fillId="73" borderId="64" xfId="2879" applyFont="1" applyFill="1" applyBorder="1" applyAlignment="1" applyProtection="1">
      <alignment horizontal="center"/>
      <protection locked="0"/>
    </xf>
    <xf numFmtId="44" fontId="3" fillId="35" borderId="64" xfId="1" applyFont="1" applyFill="1" applyBorder="1" applyAlignment="1" applyProtection="1">
      <alignment horizontal="center" vertical="center"/>
      <protection hidden="1"/>
    </xf>
    <xf numFmtId="166" fontId="3" fillId="35" borderId="64" xfId="2507" applyNumberFormat="1" applyFont="1" applyFill="1" applyBorder="1" applyAlignment="1" applyProtection="1">
      <alignment horizontal="left" vertical="center"/>
      <protection hidden="1"/>
    </xf>
    <xf numFmtId="44" fontId="3" fillId="35" borderId="64" xfId="2507" applyFont="1" applyFill="1" applyBorder="1" applyAlignment="1" applyProtection="1">
      <alignment horizontal="left" vertical="center"/>
      <protection hidden="1"/>
    </xf>
    <xf numFmtId="1" fontId="3" fillId="78" borderId="64" xfId="2506" applyNumberFormat="1" applyFont="1" applyFill="1" applyBorder="1" applyAlignment="1" applyProtection="1">
      <alignment horizontal="center" vertical="center"/>
      <protection locked="0"/>
    </xf>
    <xf numFmtId="6" fontId="108" fillId="0" borderId="64" xfId="0" applyNumberFormat="1" applyFont="1" applyBorder="1" applyAlignment="1">
      <alignment horizontal="center"/>
    </xf>
    <xf numFmtId="0" fontId="0" fillId="73" borderId="64" xfId="0" applyFill="1" applyBorder="1" applyAlignment="1" applyProtection="1">
      <alignment horizontal="center"/>
      <protection locked="0"/>
    </xf>
    <xf numFmtId="9" fontId="108" fillId="73" borderId="64" xfId="2088" applyFont="1" applyFill="1" applyBorder="1" applyAlignment="1" applyProtection="1">
      <alignment horizontal="center" vertical="center"/>
      <protection locked="0"/>
    </xf>
    <xf numFmtId="2" fontId="108" fillId="73" borderId="64" xfId="2879" applyNumberFormat="1" applyFont="1" applyFill="1" applyBorder="1" applyAlignment="1" applyProtection="1">
      <alignment horizontal="center"/>
      <protection locked="0"/>
    </xf>
    <xf numFmtId="1" fontId="108" fillId="73" borderId="64" xfId="2879" applyNumberFormat="1" applyFont="1" applyFill="1" applyBorder="1" applyAlignment="1" applyProtection="1">
      <alignment horizontal="center"/>
      <protection locked="0"/>
    </xf>
    <xf numFmtId="189" fontId="108" fillId="0" borderId="64" xfId="2879" applyNumberFormat="1" applyFont="1" applyBorder="1" applyAlignment="1">
      <alignment horizontal="center"/>
    </xf>
    <xf numFmtId="0" fontId="108" fillId="0" borderId="64" xfId="2880" applyFont="1" applyBorder="1" applyAlignment="1">
      <alignment horizontal="left" indent="1"/>
    </xf>
    <xf numFmtId="0" fontId="108" fillId="0" borderId="64" xfId="0" applyFont="1" applyBorder="1" applyAlignment="1">
      <alignment horizontal="left" wrapText="1"/>
    </xf>
    <xf numFmtId="0" fontId="3" fillId="35" borderId="64" xfId="0" applyFont="1" applyFill="1" applyBorder="1" applyAlignment="1" applyProtection="1">
      <alignment horizontal="left" vertical="center"/>
      <protection locked="0"/>
    </xf>
    <xf numFmtId="0" fontId="3" fillId="35" borderId="64" xfId="4" applyNumberFormat="1" applyFont="1" applyFill="1" applyBorder="1" applyAlignment="1" applyProtection="1">
      <alignment horizontal="center" vertical="center"/>
      <protection locked="0"/>
    </xf>
    <xf numFmtId="9" fontId="3" fillId="35" borderId="64" xfId="2506" applyFont="1" applyFill="1" applyBorder="1" applyAlignment="1" applyProtection="1">
      <alignment horizontal="center" vertical="center"/>
      <protection locked="0"/>
    </xf>
    <xf numFmtId="1" fontId="3" fillId="35" borderId="64" xfId="2506" applyNumberFormat="1" applyFont="1" applyFill="1" applyBorder="1" applyAlignment="1" applyProtection="1">
      <alignment horizontal="center" vertical="center"/>
      <protection locked="0"/>
    </xf>
    <xf numFmtId="44" fontId="3" fillId="35" borderId="64" xfId="1" applyFont="1" applyFill="1" applyBorder="1" applyAlignment="1" applyProtection="1">
      <alignment horizontal="left" vertical="center"/>
    </xf>
    <xf numFmtId="0" fontId="108" fillId="73" borderId="64" xfId="2880" applyFont="1" applyFill="1" applyBorder="1" applyAlignment="1" applyProtection="1">
      <alignment horizontal="center"/>
      <protection locked="0"/>
    </xf>
    <xf numFmtId="0" fontId="108" fillId="0" borderId="64" xfId="0" applyFont="1" applyBorder="1" applyAlignment="1">
      <alignment wrapText="1"/>
    </xf>
    <xf numFmtId="9" fontId="108" fillId="73" borderId="64" xfId="2880" applyNumberFormat="1" applyFont="1" applyFill="1" applyBorder="1" applyAlignment="1" applyProtection="1">
      <alignment horizontal="center"/>
      <protection locked="0"/>
    </xf>
    <xf numFmtId="0" fontId="128" fillId="0" borderId="64" xfId="2879" applyFont="1" applyBorder="1" applyAlignment="1">
      <alignment horizontal="left"/>
    </xf>
    <xf numFmtId="164" fontId="108" fillId="73" borderId="64" xfId="2879" applyNumberFormat="1" applyFont="1" applyFill="1" applyBorder="1" applyAlignment="1" applyProtection="1">
      <alignment horizontal="center"/>
      <protection locked="0"/>
    </xf>
    <xf numFmtId="3" fontId="108" fillId="73" borderId="64" xfId="0" applyNumberFormat="1" applyFont="1" applyFill="1" applyBorder="1" applyAlignment="1" applyProtection="1">
      <alignment horizontal="center"/>
      <protection locked="0"/>
    </xf>
    <xf numFmtId="0" fontId="0" fillId="0" borderId="64" xfId="0" applyBorder="1" applyAlignment="1">
      <alignment horizontal="center" vertical="center"/>
    </xf>
    <xf numFmtId="0" fontId="63" fillId="35" borderId="64" xfId="2001" applyFont="1" applyFill="1" applyBorder="1" applyAlignment="1">
      <alignment horizontal="left" vertical="top"/>
    </xf>
    <xf numFmtId="166" fontId="3" fillId="35" borderId="64" xfId="2877" applyNumberFormat="1" applyFont="1" applyFill="1" applyBorder="1" applyAlignment="1" applyProtection="1">
      <alignment horizontal="center" vertical="center"/>
    </xf>
    <xf numFmtId="191" fontId="3" fillId="35" borderId="64" xfId="2877" applyNumberFormat="1" applyFont="1" applyFill="1" applyBorder="1" applyAlignment="1" applyProtection="1">
      <alignment horizontal="center" vertical="center"/>
    </xf>
    <xf numFmtId="43" fontId="3" fillId="35" borderId="64" xfId="2507" applyNumberFormat="1" applyFont="1" applyFill="1" applyBorder="1" applyAlignment="1" applyProtection="1">
      <alignment horizontal="left" vertical="center"/>
    </xf>
    <xf numFmtId="0" fontId="3" fillId="78" borderId="64" xfId="2001" applyFont="1" applyFill="1" applyBorder="1" applyAlignment="1" applyProtection="1">
      <alignment horizontal="left" vertical="center"/>
      <protection locked="0"/>
    </xf>
    <xf numFmtId="166" fontId="3" fillId="78" borderId="64" xfId="2877" applyNumberFormat="1" applyFont="1" applyFill="1" applyBorder="1" applyAlignment="1" applyProtection="1">
      <alignment horizontal="left" vertical="center"/>
      <protection locked="0"/>
    </xf>
    <xf numFmtId="0" fontId="3" fillId="35" borderId="64" xfId="2001" applyFont="1" applyFill="1" applyBorder="1" applyAlignment="1">
      <alignment horizontal="left" vertical="center"/>
    </xf>
    <xf numFmtId="2" fontId="3" fillId="35" borderId="64" xfId="2875" applyNumberFormat="1" applyFont="1" applyFill="1" applyBorder="1" applyAlignment="1" applyProtection="1">
      <alignment horizontal="left" vertical="center"/>
    </xf>
    <xf numFmtId="184" fontId="3" fillId="35" borderId="64" xfId="2875" applyNumberFormat="1" applyFont="1" applyFill="1" applyBorder="1" applyAlignment="1" applyProtection="1">
      <alignment horizontal="left" vertical="center"/>
    </xf>
    <xf numFmtId="1" fontId="3" fillId="35" borderId="64" xfId="2875" applyNumberFormat="1" applyFont="1" applyFill="1" applyBorder="1" applyAlignment="1" applyProtection="1">
      <alignment horizontal="left" vertical="center"/>
    </xf>
    <xf numFmtId="186" fontId="3" fillId="35" borderId="64" xfId="2506" applyNumberFormat="1" applyFont="1" applyFill="1" applyBorder="1" applyAlignment="1" applyProtection="1">
      <alignment horizontal="center" vertical="center"/>
    </xf>
    <xf numFmtId="2" fontId="3" fillId="35" borderId="64" xfId="2506" applyNumberFormat="1" applyFont="1" applyFill="1" applyBorder="1" applyAlignment="1" applyProtection="1">
      <alignment horizontal="center" vertical="center"/>
    </xf>
    <xf numFmtId="1" fontId="3" fillId="35" borderId="64" xfId="2875" applyNumberFormat="1" applyFont="1" applyFill="1" applyBorder="1" applyAlignment="1" applyProtection="1">
      <alignment horizontal="center" vertical="center"/>
    </xf>
    <xf numFmtId="0" fontId="63" fillId="58" borderId="64" xfId="2001" applyFont="1" applyFill="1" applyBorder="1" applyAlignment="1">
      <alignment horizontal="left" vertical="top"/>
    </xf>
    <xf numFmtId="0" fontId="3" fillId="78" borderId="64" xfId="2001" applyFont="1" applyFill="1" applyBorder="1" applyAlignment="1" applyProtection="1">
      <alignment horizontal="center" vertical="center"/>
      <protection locked="0"/>
    </xf>
    <xf numFmtId="0" fontId="4" fillId="0" borderId="64" xfId="0" applyFont="1" applyBorder="1"/>
    <xf numFmtId="0" fontId="0" fillId="0" borderId="64" xfId="0" applyBorder="1" applyAlignment="1">
      <alignment horizontal="left"/>
    </xf>
    <xf numFmtId="14" fontId="0" fillId="0" borderId="64" xfId="0" applyNumberFormat="1" applyBorder="1" applyAlignment="1">
      <alignment horizontal="left"/>
    </xf>
    <xf numFmtId="0" fontId="3" fillId="35" borderId="95" xfId="2001" applyFont="1" applyFill="1" applyBorder="1" applyAlignment="1">
      <alignment horizontal="center" vertical="center"/>
    </xf>
    <xf numFmtId="0" fontId="63" fillId="35" borderId="95" xfId="2001" applyFont="1" applyFill="1" applyBorder="1" applyAlignment="1">
      <alignment horizontal="left" vertical="top"/>
    </xf>
    <xf numFmtId="0" fontId="3" fillId="35" borderId="95" xfId="2001" applyFont="1" applyFill="1" applyBorder="1" applyAlignment="1">
      <alignment horizontal="left" vertical="center"/>
    </xf>
    <xf numFmtId="43" fontId="3" fillId="35" borderId="95" xfId="2877" applyFont="1" applyFill="1" applyBorder="1" applyAlignment="1" applyProtection="1">
      <alignment horizontal="left" vertical="center"/>
    </xf>
    <xf numFmtId="164" fontId="3" fillId="35" borderId="95" xfId="2875" applyNumberFormat="1" applyFont="1" applyFill="1" applyBorder="1" applyAlignment="1" applyProtection="1">
      <alignment horizontal="left" vertical="center"/>
    </xf>
    <xf numFmtId="186" fontId="3" fillId="35" borderId="95" xfId="2875" applyNumberFormat="1" applyFont="1" applyFill="1" applyBorder="1" applyAlignment="1" applyProtection="1">
      <alignment horizontal="left" vertical="center"/>
    </xf>
    <xf numFmtId="0" fontId="3" fillId="35" borderId="95" xfId="2875" applyNumberFormat="1" applyFont="1" applyFill="1" applyBorder="1" applyAlignment="1" applyProtection="1">
      <alignment horizontal="left" vertical="center"/>
    </xf>
    <xf numFmtId="9" fontId="3" fillId="35" borderId="95" xfId="2875" applyFont="1" applyFill="1" applyBorder="1" applyAlignment="1" applyProtection="1">
      <alignment horizontal="left" vertical="center"/>
    </xf>
    <xf numFmtId="44" fontId="3" fillId="35" borderId="95" xfId="2507" applyFont="1" applyFill="1" applyBorder="1" applyAlignment="1" applyProtection="1">
      <alignment horizontal="left" vertical="center"/>
    </xf>
    <xf numFmtId="43" fontId="3" fillId="35" borderId="95" xfId="2507" applyNumberFormat="1" applyFont="1" applyFill="1" applyBorder="1" applyAlignment="1" applyProtection="1">
      <alignment horizontal="left" vertical="center"/>
    </xf>
    <xf numFmtId="0" fontId="63" fillId="0" borderId="95" xfId="2001" applyFont="1" applyBorder="1" applyAlignment="1">
      <alignment horizontal="left" vertical="top"/>
    </xf>
    <xf numFmtId="0" fontId="3" fillId="79" borderId="95" xfId="2001" applyFont="1" applyFill="1" applyBorder="1" applyAlignment="1" applyProtection="1">
      <alignment horizontal="left" vertical="center"/>
      <protection locked="0"/>
    </xf>
    <xf numFmtId="43" fontId="3" fillId="79" borderId="95" xfId="2877" applyFont="1" applyFill="1" applyBorder="1" applyAlignment="1" applyProtection="1">
      <alignment horizontal="left" vertical="center"/>
      <protection locked="0"/>
    </xf>
    <xf numFmtId="164" fontId="3" fillId="0" borderId="95" xfId="2875" applyNumberFormat="1" applyFont="1" applyFill="1" applyBorder="1" applyAlignment="1" applyProtection="1">
      <alignment horizontal="left" vertical="center"/>
      <protection locked="0"/>
    </xf>
    <xf numFmtId="186" fontId="3" fillId="0" borderId="95" xfId="2875" applyNumberFormat="1" applyFont="1" applyFill="1" applyBorder="1" applyAlignment="1" applyProtection="1">
      <alignment horizontal="left" vertical="center"/>
      <protection locked="0"/>
    </xf>
    <xf numFmtId="0" fontId="3" fillId="0" borderId="95" xfId="2875" applyNumberFormat="1" applyFont="1" applyFill="1" applyBorder="1" applyAlignment="1" applyProtection="1">
      <alignment horizontal="left" vertical="center"/>
      <protection locked="0"/>
    </xf>
    <xf numFmtId="9" fontId="3" fillId="0" borderId="95" xfId="2875" applyFont="1" applyFill="1" applyBorder="1" applyAlignment="1" applyProtection="1">
      <alignment horizontal="left" vertical="center"/>
      <protection locked="0"/>
    </xf>
    <xf numFmtId="44" fontId="3" fillId="0" borderId="95" xfId="2507" applyFont="1" applyFill="1" applyBorder="1" applyAlignment="1" applyProtection="1">
      <alignment horizontal="left" vertical="center"/>
    </xf>
    <xf numFmtId="43" fontId="3" fillId="35" borderId="95" xfId="2507" applyNumberFormat="1" applyFont="1" applyFill="1" applyBorder="1" applyAlignment="1" applyProtection="1">
      <alignment horizontal="left" vertical="center"/>
      <protection hidden="1"/>
    </xf>
    <xf numFmtId="44" fontId="3" fillId="35" borderId="95" xfId="2507" applyFont="1" applyFill="1" applyBorder="1" applyAlignment="1" applyProtection="1">
      <alignment horizontal="left" vertical="center"/>
      <protection hidden="1"/>
    </xf>
    <xf numFmtId="0" fontId="67" fillId="35" borderId="95" xfId="0" applyFont="1" applyFill="1" applyBorder="1"/>
    <xf numFmtId="0" fontId="80" fillId="0" borderId="95" xfId="2001" applyFont="1" applyBorder="1" applyAlignment="1">
      <alignment horizontal="left" vertical="top"/>
    </xf>
    <xf numFmtId="0" fontId="67" fillId="0" borderId="95" xfId="0" applyFont="1" applyBorder="1"/>
    <xf numFmtId="0" fontId="65" fillId="0" borderId="95" xfId="0" applyFont="1" applyBorder="1" applyAlignment="1">
      <alignment horizontal="left" vertical="center" wrapText="1"/>
    </xf>
    <xf numFmtId="2" fontId="65" fillId="0" borderId="95" xfId="0" applyNumberFormat="1" applyFont="1" applyBorder="1" applyAlignment="1">
      <alignment horizontal="center" vertical="center" wrapText="1"/>
    </xf>
    <xf numFmtId="0" fontId="65" fillId="0" borderId="95" xfId="0" applyFont="1" applyBorder="1" applyAlignment="1">
      <alignment horizontal="center" vertical="center" wrapText="1"/>
    </xf>
    <xf numFmtId="0" fontId="37" fillId="0" borderId="95" xfId="2001" applyBorder="1" applyAlignment="1">
      <alignment horizontal="left" vertical="top"/>
    </xf>
    <xf numFmtId="3" fontId="37" fillId="0" borderId="95" xfId="2001" applyNumberFormat="1" applyBorder="1" applyAlignment="1">
      <alignment horizontal="left" vertical="top"/>
    </xf>
    <xf numFmtId="0" fontId="37" fillId="0" borderId="95" xfId="2001" applyBorder="1" applyAlignment="1">
      <alignment horizontal="center" vertical="top"/>
    </xf>
    <xf numFmtId="0" fontId="100" fillId="0" borderId="95" xfId="2001" applyFont="1" applyBorder="1" applyAlignment="1">
      <alignment horizontal="left" vertical="top"/>
    </xf>
    <xf numFmtId="9" fontId="37" fillId="0" borderId="95" xfId="2875" applyFont="1" applyBorder="1"/>
    <xf numFmtId="10" fontId="0" fillId="0" borderId="95" xfId="2875" applyNumberFormat="1" applyFont="1" applyFill="1" applyBorder="1" applyAlignment="1">
      <alignment horizontal="left" vertical="top"/>
    </xf>
    <xf numFmtId="0" fontId="37" fillId="35" borderId="95" xfId="2001" applyFill="1" applyBorder="1" applyAlignment="1">
      <alignment horizontal="left" vertical="top"/>
    </xf>
    <xf numFmtId="10" fontId="0" fillId="35" borderId="95" xfId="2875" applyNumberFormat="1" applyFont="1" applyFill="1" applyBorder="1" applyAlignment="1">
      <alignment horizontal="left" vertical="top"/>
    </xf>
    <xf numFmtId="0" fontId="67" fillId="35" borderId="95" xfId="0" applyFont="1" applyFill="1" applyBorder="1" applyAlignment="1">
      <alignment horizontal="left"/>
    </xf>
    <xf numFmtId="0" fontId="67" fillId="0" borderId="95" xfId="0" applyFont="1" applyBorder="1" applyAlignment="1">
      <alignment horizontal="left"/>
    </xf>
    <xf numFmtId="186" fontId="0" fillId="0" borderId="95" xfId="2875" applyNumberFormat="1" applyFont="1" applyFill="1" applyBorder="1" applyAlignment="1">
      <alignment horizontal="left" vertical="top"/>
    </xf>
    <xf numFmtId="0" fontId="66" fillId="0" borderId="95" xfId="0" applyFont="1" applyBorder="1" applyAlignment="1">
      <alignment horizontal="left"/>
    </xf>
    <xf numFmtId="0" fontId="66" fillId="0" borderId="95" xfId="0" applyFont="1" applyBorder="1" applyAlignment="1">
      <alignment horizontal="center"/>
    </xf>
    <xf numFmtId="0" fontId="65" fillId="0" borderId="96" xfId="0" applyFont="1" applyBorder="1" applyAlignment="1">
      <alignment vertical="center" wrapText="1"/>
    </xf>
    <xf numFmtId="184" fontId="67" fillId="0" borderId="95" xfId="0" applyNumberFormat="1" applyFont="1" applyBorder="1"/>
    <xf numFmtId="166" fontId="0" fillId="0" borderId="95" xfId="2877" applyNumberFormat="1" applyFont="1" applyFill="1" applyBorder="1" applyAlignment="1">
      <alignment horizontal="left" vertical="top"/>
    </xf>
    <xf numFmtId="1" fontId="37" fillId="0" borderId="95" xfId="2001" applyNumberFormat="1" applyBorder="1" applyAlignment="1">
      <alignment horizontal="left" vertical="top"/>
    </xf>
    <xf numFmtId="184" fontId="37" fillId="0" borderId="95" xfId="2001" applyNumberFormat="1" applyBorder="1" applyAlignment="1">
      <alignment horizontal="left" vertical="top"/>
    </xf>
    <xf numFmtId="0" fontId="66" fillId="0" borderId="96" xfId="0" applyFont="1" applyBorder="1"/>
    <xf numFmtId="0" fontId="65" fillId="0" borderId="95" xfId="0" applyFont="1" applyBorder="1" applyAlignment="1">
      <alignment horizontal="left" wrapText="1"/>
    </xf>
    <xf numFmtId="2" fontId="65" fillId="0" borderId="95" xfId="0" applyNumberFormat="1" applyFont="1" applyBorder="1" applyAlignment="1">
      <alignment horizontal="center" wrapText="1"/>
    </xf>
    <xf numFmtId="0" fontId="66" fillId="0" borderId="95" xfId="2506" applyNumberFormat="1" applyFont="1" applyFill="1" applyBorder="1" applyAlignment="1">
      <alignment horizontal="center"/>
    </xf>
    <xf numFmtId="0" fontId="65" fillId="0" borderId="96" xfId="0" applyFont="1" applyBorder="1" applyAlignment="1">
      <alignment wrapText="1"/>
    </xf>
    <xf numFmtId="0" fontId="80" fillId="0" borderId="95" xfId="0" applyFont="1" applyBorder="1" applyAlignment="1">
      <alignment horizontal="left" vertical="top"/>
    </xf>
    <xf numFmtId="0" fontId="66" fillId="0" borderId="95" xfId="0" applyFont="1" applyBorder="1"/>
    <xf numFmtId="0" fontId="0" fillId="0" borderId="95" xfId="0" applyBorder="1" applyAlignment="1">
      <alignment horizontal="left" vertical="top"/>
    </xf>
    <xf numFmtId="3" fontId="0" fillId="0" borderId="95" xfId="0" applyNumberFormat="1" applyBorder="1" applyAlignment="1">
      <alignment horizontal="left" vertical="top"/>
    </xf>
    <xf numFmtId="0" fontId="65" fillId="0" borderId="95" xfId="0" applyFont="1" applyBorder="1" applyAlignment="1">
      <alignment horizontal="left" vertical="center"/>
    </xf>
    <xf numFmtId="0" fontId="79" fillId="0" borderId="95" xfId="0" applyFont="1" applyBorder="1" applyAlignment="1">
      <alignment horizontal="left" vertical="top"/>
    </xf>
    <xf numFmtId="1" fontId="0" fillId="0" borderId="95" xfId="4" applyNumberFormat="1" applyFont="1" applyFill="1" applyBorder="1" applyAlignment="1">
      <alignment horizontal="left" vertical="top"/>
    </xf>
    <xf numFmtId="1" fontId="79" fillId="0" borderId="95" xfId="4" applyNumberFormat="1" applyFont="1" applyFill="1" applyBorder="1" applyAlignment="1">
      <alignment horizontal="left" vertical="top"/>
    </xf>
    <xf numFmtId="9" fontId="67" fillId="0" borderId="95" xfId="2506" applyFont="1" applyFill="1" applyBorder="1"/>
    <xf numFmtId="0" fontId="4" fillId="3" borderId="132" xfId="0" applyFont="1" applyFill="1" applyBorder="1" applyAlignment="1">
      <alignment horizontal="center" vertical="center"/>
    </xf>
    <xf numFmtId="0" fontId="4" fillId="3" borderId="131" xfId="0" applyFont="1" applyFill="1" applyBorder="1" applyAlignment="1">
      <alignment horizontal="center" vertical="center"/>
    </xf>
    <xf numFmtId="0" fontId="4" fillId="3" borderId="133" xfId="0" applyFont="1" applyFill="1" applyBorder="1" applyAlignment="1">
      <alignment horizontal="center" vertical="center" wrapText="1"/>
    </xf>
    <xf numFmtId="0" fontId="3" fillId="3" borderId="134" xfId="0" applyFont="1" applyFill="1" applyBorder="1" applyAlignment="1">
      <alignment vertical="center" wrapText="1"/>
    </xf>
    <xf numFmtId="44" fontId="3" fillId="3" borderId="88" xfId="1" applyFont="1" applyFill="1" applyBorder="1" applyAlignment="1">
      <alignment vertical="center" wrapText="1"/>
    </xf>
    <xf numFmtId="0" fontId="3" fillId="3" borderId="135" xfId="0" applyFont="1" applyFill="1" applyBorder="1" applyAlignment="1">
      <alignment vertical="center" wrapText="1"/>
    </xf>
    <xf numFmtId="0" fontId="0" fillId="3" borderId="132" xfId="0" applyFill="1" applyBorder="1" applyAlignment="1">
      <alignment horizontal="center"/>
    </xf>
    <xf numFmtId="0" fontId="0" fillId="3" borderId="131" xfId="0" applyFill="1" applyBorder="1" applyAlignment="1">
      <alignment horizontal="center"/>
    </xf>
    <xf numFmtId="165" fontId="0" fillId="3" borderId="133" xfId="0" applyNumberFormat="1" applyFill="1" applyBorder="1" applyAlignment="1">
      <alignment horizontal="center"/>
    </xf>
    <xf numFmtId="0" fontId="0" fillId="3" borderId="134" xfId="0" applyFill="1" applyBorder="1" applyAlignment="1">
      <alignment horizontal="center" vertical="center"/>
    </xf>
    <xf numFmtId="0" fontId="0" fillId="3" borderId="88" xfId="0" applyFill="1" applyBorder="1" applyAlignment="1">
      <alignment horizontal="center" vertical="center"/>
    </xf>
    <xf numFmtId="186" fontId="0" fillId="3" borderId="135" xfId="2506" applyNumberFormat="1" applyFont="1" applyFill="1" applyBorder="1" applyAlignment="1">
      <alignment horizontal="center" vertical="center"/>
    </xf>
    <xf numFmtId="0" fontId="0" fillId="3" borderId="132" xfId="0" applyFill="1" applyBorder="1" applyAlignment="1">
      <alignment horizontal="center" vertical="center"/>
    </xf>
    <xf numFmtId="0" fontId="0" fillId="3" borderId="131" xfId="0" applyFill="1" applyBorder="1" applyAlignment="1">
      <alignment horizontal="center" vertical="center"/>
    </xf>
    <xf numFmtId="186" fontId="0" fillId="3" borderId="133" xfId="2506" applyNumberFormat="1" applyFont="1" applyFill="1" applyBorder="1" applyAlignment="1">
      <alignment horizontal="center" vertical="center"/>
    </xf>
    <xf numFmtId="0" fontId="3" fillId="3" borderId="132" xfId="0" applyFont="1" applyFill="1" applyBorder="1" applyAlignment="1">
      <alignment vertical="center" wrapText="1"/>
    </xf>
    <xf numFmtId="44" fontId="3" fillId="3" borderId="131" xfId="1" applyFont="1" applyFill="1" applyBorder="1" applyAlignment="1">
      <alignment vertical="center" wrapText="1"/>
    </xf>
    <xf numFmtId="0" fontId="3" fillId="3" borderId="133" xfId="0" applyFont="1" applyFill="1" applyBorder="1" applyAlignment="1">
      <alignment vertical="center" wrapText="1"/>
    </xf>
    <xf numFmtId="0" fontId="4" fillId="3" borderId="132" xfId="0" applyFont="1" applyFill="1" applyBorder="1" applyAlignment="1">
      <alignment horizontal="center" vertical="center" wrapText="1"/>
    </xf>
    <xf numFmtId="0" fontId="4" fillId="3" borderId="131" xfId="0" applyFont="1" applyFill="1" applyBorder="1" applyAlignment="1">
      <alignment horizontal="center" vertical="center" wrapText="1"/>
    </xf>
    <xf numFmtId="0" fontId="0" fillId="3" borderId="134" xfId="0" applyFill="1" applyBorder="1"/>
    <xf numFmtId="0" fontId="0" fillId="3" borderId="88" xfId="0" applyFill="1" applyBorder="1"/>
    <xf numFmtId="0" fontId="0" fillId="3" borderId="96" xfId="0" applyFill="1" applyBorder="1"/>
    <xf numFmtId="0" fontId="0" fillId="3" borderId="135" xfId="0" applyFill="1" applyBorder="1"/>
    <xf numFmtId="0" fontId="0" fillId="3" borderId="132" xfId="0" applyFill="1" applyBorder="1"/>
    <xf numFmtId="0" fontId="0" fillId="3" borderId="131" xfId="0" applyFill="1" applyBorder="1"/>
    <xf numFmtId="0" fontId="0" fillId="3" borderId="133" xfId="0" applyFill="1" applyBorder="1"/>
    <xf numFmtId="0" fontId="147" fillId="0" borderId="0" xfId="54" applyFont="1" applyAlignment="1">
      <alignment horizontal="left" vertical="top" wrapText="1"/>
    </xf>
    <xf numFmtId="0" fontId="86" fillId="68" borderId="126" xfId="2000" applyFont="1" applyFill="1" applyBorder="1" applyAlignment="1" applyProtection="1">
      <alignment horizontal="center" vertical="center" wrapText="1"/>
      <protection hidden="1"/>
    </xf>
    <xf numFmtId="0" fontId="86" fillId="68" borderId="113" xfId="2000" applyFont="1" applyFill="1" applyBorder="1" applyAlignment="1" applyProtection="1">
      <alignment horizontal="center" vertical="center" wrapText="1"/>
      <protection hidden="1"/>
    </xf>
    <xf numFmtId="0" fontId="68" fillId="0" borderId="66" xfId="0" applyFont="1" applyBorder="1" applyAlignment="1">
      <alignment horizontal="center"/>
    </xf>
    <xf numFmtId="0" fontId="68" fillId="0" borderId="127" xfId="0" applyFont="1" applyBorder="1" applyAlignment="1">
      <alignment horizontal="center"/>
    </xf>
    <xf numFmtId="0" fontId="68" fillId="0" borderId="128" xfId="0" applyFont="1" applyBorder="1" applyAlignment="1">
      <alignment horizontal="center"/>
    </xf>
    <xf numFmtId="0" fontId="144" fillId="2" borderId="0" xfId="0" applyFont="1" applyFill="1" applyAlignment="1">
      <alignment horizontal="center"/>
    </xf>
    <xf numFmtId="0" fontId="3" fillId="0" borderId="136" xfId="0" applyFont="1" applyBorder="1" applyAlignment="1">
      <alignment horizontal="left" vertical="center" wrapText="1"/>
    </xf>
    <xf numFmtId="0" fontId="67" fillId="0" borderId="137" xfId="0" applyFont="1" applyBorder="1" applyAlignment="1">
      <alignment horizontal="left" vertical="center"/>
    </xf>
    <xf numFmtId="0" fontId="67" fillId="0" borderId="138" xfId="0" applyFont="1" applyBorder="1" applyAlignment="1">
      <alignment horizontal="left" vertical="center"/>
    </xf>
    <xf numFmtId="0" fontId="67" fillId="0" borderId="139" xfId="0" applyFont="1" applyBorder="1" applyAlignment="1">
      <alignment horizontal="left" vertical="center"/>
    </xf>
    <xf numFmtId="0" fontId="67" fillId="0" borderId="0" xfId="0" applyFont="1" applyAlignment="1">
      <alignment horizontal="left" vertical="center"/>
    </xf>
    <xf numFmtId="0" fontId="67" fillId="0" borderId="140" xfId="0" applyFont="1" applyBorder="1" applyAlignment="1">
      <alignment horizontal="left" vertical="center"/>
    </xf>
    <xf numFmtId="0" fontId="67" fillId="0" borderId="141" xfId="0" applyFont="1" applyBorder="1" applyAlignment="1">
      <alignment horizontal="left" vertical="center"/>
    </xf>
    <xf numFmtId="0" fontId="67" fillId="0" borderId="142" xfId="0" applyFont="1" applyBorder="1" applyAlignment="1">
      <alignment horizontal="left" vertical="center"/>
    </xf>
    <xf numFmtId="0" fontId="67" fillId="0" borderId="143" xfId="0" applyFont="1" applyBorder="1" applyAlignment="1">
      <alignment horizontal="left" vertical="center"/>
    </xf>
    <xf numFmtId="0" fontId="69" fillId="69" borderId="64" xfId="0" applyFont="1" applyFill="1" applyBorder="1" applyAlignment="1">
      <alignment horizontal="center" vertical="center"/>
    </xf>
    <xf numFmtId="0" fontId="69" fillId="69" borderId="64" xfId="0" applyFont="1" applyFill="1" applyBorder="1" applyAlignment="1">
      <alignment horizontal="center" vertical="center" wrapText="1"/>
    </xf>
    <xf numFmtId="0" fontId="66" fillId="0" borderId="114" xfId="0" applyFont="1" applyBorder="1" applyAlignment="1">
      <alignment horizontal="center"/>
    </xf>
    <xf numFmtId="0" fontId="93" fillId="0" borderId="0" xfId="0" applyFont="1" applyAlignment="1">
      <alignment horizontal="center" vertical="center"/>
    </xf>
    <xf numFmtId="0" fontId="3" fillId="0" borderId="114" xfId="0" applyFont="1" applyBorder="1" applyAlignment="1">
      <alignment horizontal="center" vertical="center" wrapText="1"/>
    </xf>
    <xf numFmtId="0" fontId="3" fillId="0" borderId="0" xfId="0" applyFont="1" applyAlignment="1">
      <alignment horizontal="center" vertical="center" wrapText="1"/>
    </xf>
    <xf numFmtId="0" fontId="91" fillId="0" borderId="66" xfId="2503" applyFont="1" applyFill="1" applyBorder="1" applyAlignment="1">
      <alignment horizontal="center" vertical="center"/>
    </xf>
    <xf numFmtId="0" fontId="91" fillId="0" borderId="128" xfId="2503" applyFont="1" applyFill="1" applyBorder="1" applyAlignment="1">
      <alignment horizontal="center" vertical="center"/>
    </xf>
    <xf numFmtId="0" fontId="85" fillId="0" borderId="0" xfId="0" applyFont="1" applyAlignment="1">
      <alignment horizontal="center" vertical="center"/>
    </xf>
    <xf numFmtId="0" fontId="146" fillId="0" borderId="0" xfId="54" applyFont="1" applyAlignment="1">
      <alignment horizontal="center" vertical="center" wrapText="1"/>
    </xf>
    <xf numFmtId="0" fontId="146" fillId="0" borderId="0" xfId="54" applyFont="1" applyAlignment="1">
      <alignment horizontal="center" vertical="center"/>
    </xf>
    <xf numFmtId="0" fontId="83" fillId="66" borderId="0" xfId="54" applyFont="1" applyFill="1" applyAlignment="1">
      <alignment horizontal="center"/>
    </xf>
    <xf numFmtId="0" fontId="67" fillId="0" borderId="0" xfId="54" applyFont="1" applyAlignment="1">
      <alignment horizontal="left" vertical="top" wrapText="1"/>
    </xf>
    <xf numFmtId="0" fontId="147" fillId="0" borderId="0" xfId="54" applyFont="1" applyAlignment="1">
      <alignment horizontal="left" vertical="top" wrapText="1"/>
    </xf>
    <xf numFmtId="0" fontId="85" fillId="0" borderId="0" xfId="54" applyFont="1" applyAlignment="1">
      <alignment horizontal="left" wrapText="1"/>
    </xf>
    <xf numFmtId="0" fontId="78" fillId="0" borderId="88" xfId="2503" applyFont="1" applyBorder="1" applyAlignment="1">
      <alignment horizontal="center" vertical="center" wrapText="1"/>
    </xf>
    <xf numFmtId="187" fontId="78" fillId="0" borderId="96" xfId="2503" applyNumberFormat="1" applyFont="1" applyBorder="1" applyAlignment="1">
      <alignment horizontal="center" vertical="center" shrinkToFit="1"/>
    </xf>
    <xf numFmtId="187" fontId="78" fillId="0" borderId="127" xfId="2503" applyNumberFormat="1" applyFont="1" applyBorder="1" applyAlignment="1">
      <alignment horizontal="center" vertical="center" shrinkToFit="1"/>
    </xf>
    <xf numFmtId="187" fontId="78" fillId="0" borderId="128" xfId="2503" applyNumberFormat="1" applyFont="1" applyBorder="1" applyAlignment="1">
      <alignment horizontal="center" vertical="center" shrinkToFit="1"/>
    </xf>
    <xf numFmtId="0" fontId="78" fillId="0" borderId="131" xfId="2503" applyFont="1" applyBorder="1" applyAlignment="1">
      <alignment horizontal="center" vertical="center" wrapText="1"/>
    </xf>
    <xf numFmtId="0" fontId="78" fillId="0" borderId="129" xfId="2503" applyFont="1" applyBorder="1" applyAlignment="1">
      <alignment horizontal="center" vertical="center" wrapText="1"/>
    </xf>
    <xf numFmtId="0" fontId="78" fillId="0" borderId="130" xfId="2503" applyFont="1" applyBorder="1" applyAlignment="1">
      <alignment horizontal="center" vertical="center" wrapText="1"/>
    </xf>
    <xf numFmtId="0" fontId="78" fillId="0" borderId="7" xfId="2503" applyFont="1" applyBorder="1" applyAlignment="1">
      <alignment horizontal="center" vertical="center" wrapText="1"/>
    </xf>
    <xf numFmtId="0" fontId="78" fillId="0" borderId="4" xfId="2503" applyFont="1" applyBorder="1" applyAlignment="1">
      <alignment horizontal="center" vertical="center" wrapText="1"/>
    </xf>
    <xf numFmtId="0" fontId="78" fillId="35" borderId="66" xfId="2503" applyFont="1" applyFill="1" applyBorder="1" applyAlignment="1">
      <alignment horizontal="center" vertical="center" wrapText="1"/>
    </xf>
    <xf numFmtId="0" fontId="78" fillId="35" borderId="127" xfId="2503" applyFont="1" applyFill="1" applyBorder="1" applyAlignment="1">
      <alignment horizontal="center" vertical="center" wrapText="1"/>
    </xf>
    <xf numFmtId="0" fontId="78" fillId="35" borderId="128" xfId="2503" applyFont="1" applyFill="1" applyBorder="1" applyAlignment="1">
      <alignment horizontal="center" vertical="center" wrapText="1"/>
    </xf>
    <xf numFmtId="0" fontId="78" fillId="0" borderId="66" xfId="2503" applyFont="1" applyBorder="1" applyAlignment="1">
      <alignment horizontal="center" vertical="center" wrapText="1"/>
    </xf>
    <xf numFmtId="0" fontId="78" fillId="0" borderId="127" xfId="2503" applyFont="1" applyBorder="1" applyAlignment="1">
      <alignment horizontal="center" vertical="center" wrapText="1"/>
    </xf>
    <xf numFmtId="0" fontId="78" fillId="0" borderId="128" xfId="2503" applyFont="1" applyBorder="1" applyAlignment="1">
      <alignment horizontal="center" vertical="center" wrapText="1"/>
    </xf>
    <xf numFmtId="0" fontId="78" fillId="35" borderId="129" xfId="2503" applyFont="1" applyFill="1" applyBorder="1" applyAlignment="1">
      <alignment horizontal="center" vertical="center" wrapText="1"/>
    </xf>
    <xf numFmtId="0" fontId="78" fillId="35" borderId="130" xfId="2503" applyFont="1" applyFill="1" applyBorder="1" applyAlignment="1">
      <alignment horizontal="center" vertical="center" wrapText="1"/>
    </xf>
    <xf numFmtId="0" fontId="78" fillId="35" borderId="115" xfId="2503" applyFont="1" applyFill="1" applyBorder="1" applyAlignment="1">
      <alignment horizontal="center" vertical="center" wrapText="1"/>
    </xf>
    <xf numFmtId="0" fontId="78" fillId="35" borderId="109" xfId="2503" applyFont="1" applyFill="1" applyBorder="1" applyAlignment="1">
      <alignment horizontal="center" vertical="center" wrapText="1"/>
    </xf>
    <xf numFmtId="0" fontId="78" fillId="35" borderId="7" xfId="2503" applyFont="1" applyFill="1" applyBorder="1" applyAlignment="1">
      <alignment horizontal="center" vertical="center" wrapText="1"/>
    </xf>
    <xf numFmtId="0" fontId="78" fillId="35" borderId="4" xfId="2503" applyFont="1" applyFill="1" applyBorder="1" applyAlignment="1">
      <alignment horizontal="center" vertical="center" wrapText="1"/>
    </xf>
    <xf numFmtId="0" fontId="78" fillId="0" borderId="115" xfId="2503" applyFont="1" applyBorder="1" applyAlignment="1">
      <alignment horizontal="center" vertical="center" wrapText="1"/>
    </xf>
    <xf numFmtId="0" fontId="78" fillId="0" borderId="109" xfId="2503" applyFont="1" applyBorder="1" applyAlignment="1">
      <alignment horizontal="center" vertical="center" wrapText="1"/>
    </xf>
    <xf numFmtId="0" fontId="77" fillId="0" borderId="66" xfId="2503" applyFont="1" applyBorder="1" applyAlignment="1">
      <alignment horizontal="center" vertical="top" wrapText="1"/>
    </xf>
    <xf numFmtId="0" fontId="77" fillId="0" borderId="127" xfId="2503" applyFont="1" applyBorder="1" applyAlignment="1">
      <alignment horizontal="center" vertical="top" wrapText="1"/>
    </xf>
    <xf numFmtId="0" fontId="77" fillId="0" borderId="64" xfId="2503" applyFont="1" applyBorder="1" applyAlignment="1">
      <alignment horizontal="center" vertical="top" wrapText="1"/>
    </xf>
    <xf numFmtId="0" fontId="65" fillId="0" borderId="0" xfId="2503" applyFont="1" applyAlignment="1">
      <alignment horizontal="center" vertical="center" wrapText="1"/>
    </xf>
    <xf numFmtId="0" fontId="65" fillId="0" borderId="5" xfId="2503" applyFont="1" applyBorder="1" applyAlignment="1">
      <alignment horizontal="center" vertical="center" wrapText="1"/>
    </xf>
    <xf numFmtId="0" fontId="77" fillId="65" borderId="66" xfId="2503" applyFont="1" applyFill="1" applyBorder="1" applyAlignment="1">
      <alignment horizontal="left" vertical="top" wrapText="1"/>
    </xf>
    <xf numFmtId="0" fontId="77" fillId="65" borderId="127" xfId="2503" applyFont="1" applyFill="1" applyBorder="1" applyAlignment="1">
      <alignment horizontal="left" vertical="top" wrapText="1"/>
    </xf>
    <xf numFmtId="0" fontId="77" fillId="65" borderId="128" xfId="2503" applyFont="1" applyFill="1" applyBorder="1" applyAlignment="1">
      <alignment horizontal="left" vertical="top" wrapText="1"/>
    </xf>
    <xf numFmtId="0" fontId="77" fillId="0" borderId="128" xfId="2503" applyFont="1" applyBorder="1" applyAlignment="1">
      <alignment horizontal="center" vertical="top" wrapText="1"/>
    </xf>
    <xf numFmtId="187" fontId="78" fillId="35" borderId="66" xfId="2503" applyNumberFormat="1" applyFont="1" applyFill="1" applyBorder="1" applyAlignment="1">
      <alignment horizontal="center" vertical="center" shrinkToFit="1"/>
    </xf>
    <xf numFmtId="187" fontId="78" fillId="35" borderId="127" xfId="2503" applyNumberFormat="1" applyFont="1" applyFill="1" applyBorder="1" applyAlignment="1">
      <alignment horizontal="center" vertical="center" shrinkToFit="1"/>
    </xf>
    <xf numFmtId="187" fontId="78" fillId="35" borderId="128" xfId="2503" applyNumberFormat="1" applyFont="1" applyFill="1" applyBorder="1" applyAlignment="1">
      <alignment horizontal="center" vertical="center" shrinkToFit="1"/>
    </xf>
    <xf numFmtId="187" fontId="78" fillId="0" borderId="66" xfId="2503" applyNumberFormat="1" applyFont="1" applyBorder="1" applyAlignment="1">
      <alignment horizontal="center" vertical="center" shrinkToFit="1"/>
    </xf>
    <xf numFmtId="0" fontId="75" fillId="0" borderId="0" xfId="2503" applyFont="1" applyAlignment="1">
      <alignment horizontal="center" vertical="center" wrapText="1"/>
    </xf>
    <xf numFmtId="0" fontId="63" fillId="0" borderId="0" xfId="2503" applyFont="1" applyAlignment="1">
      <alignment horizontal="center" vertical="center" wrapText="1"/>
    </xf>
    <xf numFmtId="0" fontId="65" fillId="0" borderId="0" xfId="2503" applyFont="1" applyBorder="1" applyAlignment="1">
      <alignment horizontal="center" vertical="center" wrapText="1"/>
    </xf>
    <xf numFmtId="0" fontId="91" fillId="70" borderId="66" xfId="2503" applyFont="1" applyFill="1" applyBorder="1" applyAlignment="1">
      <alignment horizontal="left" vertical="top" wrapText="1"/>
    </xf>
    <xf numFmtId="0" fontId="91" fillId="70" borderId="127" xfId="2503" applyFont="1" applyFill="1" applyBorder="1" applyAlignment="1">
      <alignment horizontal="left" vertical="top" wrapText="1"/>
    </xf>
    <xf numFmtId="0" fontId="91" fillId="70" borderId="128" xfId="2503" applyFont="1" applyFill="1" applyBorder="1" applyAlignment="1">
      <alignment horizontal="left" vertical="top" wrapText="1"/>
    </xf>
    <xf numFmtId="0" fontId="65" fillId="0" borderId="64" xfId="0" applyFont="1" applyBorder="1" applyAlignment="1">
      <alignment vertical="center" wrapText="1"/>
    </xf>
    <xf numFmtId="0" fontId="65" fillId="35" borderId="64" xfId="0" applyFont="1" applyFill="1" applyBorder="1" applyAlignment="1">
      <alignment horizontal="center" vertical="center" wrapText="1"/>
    </xf>
    <xf numFmtId="0" fontId="65" fillId="35" borderId="64" xfId="0" applyFont="1" applyFill="1" applyBorder="1" applyAlignment="1">
      <alignment horizontal="center" vertical="center"/>
    </xf>
    <xf numFmtId="0" fontId="65" fillId="35" borderId="66" xfId="0" applyFont="1" applyFill="1" applyBorder="1" applyAlignment="1">
      <alignment horizontal="center" vertical="center" wrapText="1"/>
    </xf>
    <xf numFmtId="0" fontId="4" fillId="3" borderId="128" xfId="0" applyFont="1" applyFill="1" applyBorder="1" applyAlignment="1">
      <alignment horizontal="center" vertical="center"/>
    </xf>
    <xf numFmtId="0" fontId="65" fillId="0" borderId="64" xfId="0" applyFont="1" applyBorder="1" applyAlignment="1">
      <alignment horizontal="left" vertical="center" wrapText="1"/>
    </xf>
    <xf numFmtId="0" fontId="0" fillId="3" borderId="66" xfId="0" applyFill="1" applyBorder="1"/>
    <xf numFmtId="0" fontId="0" fillId="3" borderId="127" xfId="0" applyFill="1" applyBorder="1"/>
    <xf numFmtId="0" fontId="0" fillId="3" borderId="128" xfId="0" applyFill="1" applyBorder="1"/>
    <xf numFmtId="0" fontId="65" fillId="35" borderId="126" xfId="0" applyFont="1" applyFill="1" applyBorder="1" applyAlignment="1">
      <alignment horizontal="center" vertical="center"/>
    </xf>
    <xf numFmtId="0" fontId="65" fillId="35" borderId="3" xfId="0" applyFont="1" applyFill="1" applyBorder="1" applyAlignment="1">
      <alignment horizontal="center" vertical="center"/>
    </xf>
    <xf numFmtId="0" fontId="66" fillId="0" borderId="126"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64" xfId="0" applyFont="1" applyBorder="1" applyAlignment="1">
      <alignment horizontal="center" vertical="center"/>
    </xf>
    <xf numFmtId="0" fontId="65" fillId="35" borderId="126" xfId="0" applyFont="1" applyFill="1" applyBorder="1" applyAlignment="1">
      <alignment horizontal="center" vertical="center" wrapText="1"/>
    </xf>
    <xf numFmtId="0" fontId="65" fillId="35" borderId="3" xfId="0" applyFont="1" applyFill="1" applyBorder="1" applyAlignment="1">
      <alignment horizontal="center" vertical="center" wrapText="1"/>
    </xf>
    <xf numFmtId="0" fontId="65" fillId="0" borderId="126"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 xfId="0" applyFont="1" applyBorder="1" applyAlignment="1">
      <alignment horizontal="center" vertical="center" wrapText="1"/>
    </xf>
    <xf numFmtId="0" fontId="4" fillId="3" borderId="101"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102" xfId="0" applyFont="1" applyFill="1" applyBorder="1" applyAlignment="1">
      <alignment horizontal="center" vertical="center" wrapText="1"/>
    </xf>
    <xf numFmtId="0" fontId="4" fillId="3" borderId="46" xfId="0" applyFont="1" applyFill="1" applyBorder="1" applyAlignment="1">
      <alignment horizontal="center"/>
    </xf>
    <xf numFmtId="0" fontId="4" fillId="3" borderId="9" xfId="0" applyFont="1" applyFill="1" applyBorder="1" applyAlignment="1">
      <alignment horizontal="center"/>
    </xf>
    <xf numFmtId="0" fontId="4" fillId="3" borderId="47" xfId="0" applyFont="1" applyFill="1" applyBorder="1" applyAlignment="1">
      <alignment horizontal="center"/>
    </xf>
    <xf numFmtId="0" fontId="4" fillId="3" borderId="4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7" xfId="0" applyFont="1" applyFill="1" applyBorder="1" applyAlignment="1">
      <alignment horizontal="center" vertical="center"/>
    </xf>
    <xf numFmtId="0" fontId="67" fillId="0" borderId="115" xfId="0" applyFont="1" applyBorder="1" applyAlignment="1">
      <alignment horizontal="left" vertical="center" wrapText="1"/>
    </xf>
    <xf numFmtId="0" fontId="67" fillId="0" borderId="0" xfId="0" applyFont="1" applyAlignment="1">
      <alignment horizontal="left" vertical="center" wrapText="1"/>
    </xf>
    <xf numFmtId="0" fontId="66" fillId="0" borderId="126" xfId="0" applyFont="1" applyBorder="1" applyAlignment="1">
      <alignment horizontal="center" vertical="center"/>
    </xf>
    <xf numFmtId="0" fontId="66" fillId="0" borderId="113" xfId="0" applyFont="1" applyBorder="1" applyAlignment="1">
      <alignment horizontal="center" vertical="center"/>
    </xf>
    <xf numFmtId="0" fontId="66" fillId="0" borderId="3" xfId="0" applyFont="1" applyBorder="1" applyAlignment="1">
      <alignment horizontal="center" vertical="center"/>
    </xf>
    <xf numFmtId="0" fontId="79" fillId="0" borderId="5" xfId="0" applyFont="1" applyBorder="1" applyAlignment="1">
      <alignment horizontal="center" vertical="top"/>
    </xf>
    <xf numFmtId="0" fontId="67" fillId="0" borderId="66" xfId="0" applyFont="1" applyBorder="1" applyAlignment="1">
      <alignment horizontal="center"/>
    </xf>
    <xf numFmtId="0" fontId="67" fillId="0" borderId="128" xfId="0" applyFont="1" applyBorder="1" applyAlignment="1">
      <alignment horizontal="center"/>
    </xf>
    <xf numFmtId="0" fontId="101" fillId="0" borderId="66" xfId="2001" applyFont="1" applyBorder="1" applyAlignment="1">
      <alignment horizontal="center"/>
    </xf>
    <xf numFmtId="0" fontId="101" fillId="0" borderId="127" xfId="2001" applyFont="1" applyBorder="1" applyAlignment="1">
      <alignment horizontal="center"/>
    </xf>
    <xf numFmtId="0" fontId="101" fillId="0" borderId="128" xfId="2001" applyFont="1" applyBorder="1" applyAlignment="1">
      <alignment horizontal="center"/>
    </xf>
    <xf numFmtId="0" fontId="79" fillId="0" borderId="5" xfId="2001" applyFont="1" applyBorder="1" applyAlignment="1">
      <alignment horizontal="center" vertical="top"/>
    </xf>
    <xf numFmtId="0" fontId="79" fillId="0" borderId="0" xfId="2001" applyFont="1" applyAlignment="1">
      <alignment horizontal="center" vertical="top"/>
    </xf>
    <xf numFmtId="0" fontId="37" fillId="0" borderId="66" xfId="2001" applyBorder="1" applyAlignment="1">
      <alignment horizontal="center" vertical="top"/>
    </xf>
    <xf numFmtId="0" fontId="37" fillId="0" borderId="128" xfId="2001" applyBorder="1" applyAlignment="1">
      <alignment horizontal="center" vertical="top"/>
    </xf>
    <xf numFmtId="0" fontId="99" fillId="0" borderId="66" xfId="2001" applyFont="1" applyBorder="1" applyAlignment="1">
      <alignment horizontal="center"/>
    </xf>
    <xf numFmtId="0" fontId="99" fillId="0" borderId="127" xfId="2001" applyFont="1" applyBorder="1" applyAlignment="1">
      <alignment horizontal="center"/>
    </xf>
    <xf numFmtId="0" fontId="99" fillId="0" borderId="128" xfId="2001" applyFont="1" applyBorder="1" applyAlignment="1">
      <alignment horizontal="center"/>
    </xf>
    <xf numFmtId="0" fontId="65" fillId="35" borderId="66" xfId="0" applyFont="1" applyFill="1" applyBorder="1" applyAlignment="1">
      <alignment horizontal="center" vertical="center"/>
    </xf>
    <xf numFmtId="0" fontId="66" fillId="35" borderId="64" xfId="0" applyFont="1" applyFill="1" applyBorder="1" applyAlignment="1">
      <alignment horizontal="center" vertical="center" wrapText="1"/>
    </xf>
    <xf numFmtId="0" fontId="107" fillId="0" borderId="64" xfId="2878" applyFont="1" applyBorder="1" applyAlignment="1">
      <alignment horizontal="left" vertical="center"/>
    </xf>
    <xf numFmtId="0" fontId="0" fillId="0" borderId="64" xfId="0" applyBorder="1"/>
    <xf numFmtId="0" fontId="112" fillId="0" borderId="64" xfId="2879" applyFont="1" applyBorder="1" applyAlignment="1" applyProtection="1">
      <alignment horizontal="left" vertical="center" wrapText="1"/>
      <protection locked="0"/>
    </xf>
    <xf numFmtId="0" fontId="40" fillId="0" borderId="64" xfId="0" applyFont="1" applyBorder="1" applyAlignment="1">
      <alignment horizontal="left" vertical="center" wrapText="1"/>
    </xf>
    <xf numFmtId="0" fontId="111" fillId="0" borderId="126" xfId="2879" applyFont="1" applyBorder="1" applyAlignment="1" applyProtection="1">
      <alignment horizontal="left"/>
      <protection locked="0"/>
    </xf>
    <xf numFmtId="0" fontId="111" fillId="0" borderId="3" xfId="2879" applyFont="1" applyBorder="1" applyAlignment="1" applyProtection="1">
      <alignment horizontal="left"/>
      <protection locked="0"/>
    </xf>
    <xf numFmtId="0" fontId="111" fillId="0" borderId="64" xfId="2879" applyFont="1" applyBorder="1" applyAlignment="1" applyProtection="1">
      <alignment horizontal="left"/>
      <protection locked="0"/>
    </xf>
    <xf numFmtId="0" fontId="107" fillId="0" borderId="66" xfId="0" applyFont="1" applyBorder="1"/>
    <xf numFmtId="0" fontId="107" fillId="0" borderId="127" xfId="0" applyFont="1" applyBorder="1"/>
    <xf numFmtId="0" fontId="107" fillId="0" borderId="128" xfId="0" applyFont="1" applyBorder="1"/>
    <xf numFmtId="0" fontId="107" fillId="0" borderId="126"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64" xfId="0" applyFont="1" applyBorder="1" applyAlignment="1">
      <alignment horizontal="center" vertical="center"/>
    </xf>
    <xf numFmtId="0" fontId="108" fillId="0" borderId="64" xfId="0" applyFont="1" applyBorder="1" applyAlignment="1">
      <alignment horizontal="center" vertical="center"/>
    </xf>
    <xf numFmtId="0" fontId="107" fillId="0" borderId="64" xfId="0" applyFont="1" applyBorder="1" applyAlignment="1">
      <alignment horizontal="center" vertical="center" wrapText="1"/>
    </xf>
    <xf numFmtId="0" fontId="108" fillId="0" borderId="64" xfId="0" applyFont="1" applyBorder="1" applyAlignment="1">
      <alignment horizontal="center" vertical="center" wrapText="1"/>
    </xf>
    <xf numFmtId="0" fontId="107" fillId="0" borderId="66" xfId="0" applyFont="1" applyBorder="1" applyAlignment="1">
      <alignment vertical="center"/>
    </xf>
    <xf numFmtId="0" fontId="0" fillId="0" borderId="128" xfId="0" applyBorder="1" applyAlignment="1">
      <alignment vertical="center"/>
    </xf>
    <xf numFmtId="0" fontId="107" fillId="0" borderId="64" xfId="0" applyFont="1" applyBorder="1"/>
    <xf numFmtId="0" fontId="2" fillId="0" borderId="64" xfId="0" applyFont="1" applyBorder="1"/>
    <xf numFmtId="0" fontId="48" fillId="0" borderId="64" xfId="0" applyFont="1" applyBorder="1" applyAlignment="1">
      <alignment horizontal="left"/>
    </xf>
    <xf numFmtId="0" fontId="0" fillId="0" borderId="127" xfId="0" applyBorder="1"/>
    <xf numFmtId="0" fontId="0" fillId="0" borderId="128" xfId="0" applyBorder="1"/>
    <xf numFmtId="0" fontId="86" fillId="68" borderId="64" xfId="2000" applyFont="1" applyFill="1" applyBorder="1" applyAlignment="1" applyProtection="1">
      <alignment horizontal="center" vertical="center" wrapText="1"/>
      <protection hidden="1"/>
    </xf>
    <xf numFmtId="166" fontId="106" fillId="69" borderId="7" xfId="4" applyNumberFormat="1" applyFont="1" applyFill="1" applyBorder="1" applyAlignment="1" applyProtection="1">
      <alignment horizontal="center" vertical="center"/>
      <protection hidden="1"/>
    </xf>
    <xf numFmtId="166" fontId="106" fillId="69" borderId="5" xfId="4" applyNumberFormat="1" applyFont="1" applyFill="1" applyBorder="1" applyAlignment="1" applyProtection="1">
      <alignment horizontal="center" vertical="center"/>
      <protection hidden="1"/>
    </xf>
    <xf numFmtId="0" fontId="3" fillId="35" borderId="126" xfId="0" applyFont="1" applyFill="1" applyBorder="1" applyAlignment="1">
      <alignment horizontal="center" vertical="center"/>
    </xf>
    <xf numFmtId="0" fontId="3" fillId="35" borderId="113" xfId="0" applyFont="1" applyFill="1" applyBorder="1" applyAlignment="1">
      <alignment horizontal="center" vertical="center"/>
    </xf>
    <xf numFmtId="0" fontId="3" fillId="35" borderId="3" xfId="0" applyFont="1" applyFill="1" applyBorder="1" applyAlignment="1">
      <alignment horizontal="center" vertical="center"/>
    </xf>
    <xf numFmtId="0" fontId="48" fillId="0" borderId="129" xfId="0" applyFont="1" applyBorder="1" applyAlignment="1">
      <alignment horizontal="left"/>
    </xf>
    <xf numFmtId="0" fontId="0" fillId="0" borderId="130" xfId="0" applyBorder="1"/>
    <xf numFmtId="0" fontId="48" fillId="0" borderId="115" xfId="0" applyFont="1" applyBorder="1" applyAlignment="1">
      <alignment horizontal="left"/>
    </xf>
    <xf numFmtId="0" fontId="0" fillId="0" borderId="109" xfId="0" applyBorder="1"/>
    <xf numFmtId="0" fontId="2" fillId="0" borderId="7" xfId="0" applyFont="1" applyBorder="1"/>
    <xf numFmtId="0" fontId="0" fillId="0" borderId="4" xfId="0" applyBorder="1"/>
    <xf numFmtId="0" fontId="107" fillId="0" borderId="66" xfId="0" applyFont="1" applyBorder="1" applyAlignment="1">
      <alignment horizontal="center" vertical="center"/>
    </xf>
    <xf numFmtId="0" fontId="2" fillId="0" borderId="128" xfId="0" applyFont="1" applyBorder="1" applyAlignment="1">
      <alignment horizontal="center" vertical="center"/>
    </xf>
    <xf numFmtId="0" fontId="48" fillId="0" borderId="126" xfId="0" applyFont="1" applyBorder="1" applyProtection="1">
      <protection locked="0"/>
    </xf>
    <xf numFmtId="0" fontId="2" fillId="0" borderId="113" xfId="0" applyFont="1" applyBorder="1"/>
    <xf numFmtId="0" fontId="2" fillId="0" borderId="3" xfId="0" applyFont="1" applyBorder="1"/>
    <xf numFmtId="0" fontId="107" fillId="0" borderId="129" xfId="0" applyFont="1" applyBorder="1" applyAlignment="1">
      <alignment horizontal="center" vertical="center"/>
    </xf>
    <xf numFmtId="0" fontId="2" fillId="0" borderId="130"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107" fillId="0" borderId="113" xfId="0" applyFont="1" applyBorder="1" applyAlignment="1">
      <alignment horizontal="center" vertical="center" wrapText="1"/>
    </xf>
    <xf numFmtId="0" fontId="107" fillId="0" borderId="64" xfId="0" applyFont="1" applyBorder="1" applyAlignment="1">
      <alignment vertical="center"/>
    </xf>
    <xf numFmtId="0" fontId="108" fillId="0" borderId="64" xfId="2880" applyFont="1" applyBorder="1" applyProtection="1">
      <protection locked="0"/>
    </xf>
    <xf numFmtId="0" fontId="107" fillId="0" borderId="64" xfId="2878" applyFont="1" applyBorder="1" applyAlignment="1">
      <alignment horizontal="center"/>
    </xf>
    <xf numFmtId="0" fontId="2" fillId="0" borderId="64" xfId="0" applyFont="1" applyBorder="1" applyAlignment="1">
      <alignment wrapText="1"/>
    </xf>
    <xf numFmtId="0" fontId="108" fillId="0" borderId="126" xfId="0" applyFont="1" applyBorder="1" applyAlignment="1">
      <alignment horizontal="center" vertical="center"/>
    </xf>
    <xf numFmtId="0" fontId="2" fillId="0" borderId="113"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127" xfId="0" applyFont="1" applyBorder="1"/>
    <xf numFmtId="0" fontId="2" fillId="0" borderId="128" xfId="0" applyFont="1" applyBorder="1"/>
    <xf numFmtId="0" fontId="107" fillId="0" borderId="126" xfId="0" applyFont="1" applyBorder="1" applyAlignment="1">
      <alignment vertical="center" wrapText="1"/>
    </xf>
    <xf numFmtId="0" fontId="2" fillId="0" borderId="3" xfId="0" applyFont="1" applyBorder="1" applyAlignment="1">
      <alignment vertical="center" wrapText="1"/>
    </xf>
    <xf numFmtId="0" fontId="108" fillId="0" borderId="129" xfId="0" applyFont="1" applyBorder="1" applyAlignment="1">
      <alignment horizontal="center" vertical="center"/>
    </xf>
    <xf numFmtId="0" fontId="2" fillId="0" borderId="114" xfId="0" applyFont="1" applyBorder="1" applyAlignment="1">
      <alignment horizontal="center" vertical="center"/>
    </xf>
    <xf numFmtId="0" fontId="2" fillId="0" borderId="130" xfId="0" applyFont="1" applyBorder="1" applyAlignment="1">
      <alignment horizontal="center" vertical="center"/>
    </xf>
    <xf numFmtId="0" fontId="2" fillId="0" borderId="115" xfId="0" applyFont="1" applyBorder="1" applyAlignment="1">
      <alignment horizontal="center" vertical="center"/>
    </xf>
    <xf numFmtId="0" fontId="2" fillId="0" borderId="0" xfId="0" applyFont="1" applyAlignment="1">
      <alignment horizontal="center" vertical="center"/>
    </xf>
    <xf numFmtId="0" fontId="2" fillId="0" borderId="109"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7" fillId="0" borderId="130" xfId="0" applyFont="1" applyBorder="1" applyAlignment="1">
      <alignment horizontal="center" vertical="center"/>
    </xf>
    <xf numFmtId="0" fontId="107" fillId="0" borderId="7" xfId="0" applyFont="1" applyBorder="1" applyAlignment="1">
      <alignment horizontal="center" vertical="center"/>
    </xf>
    <xf numFmtId="0" fontId="107" fillId="0" borderId="4" xfId="0" applyFont="1" applyBorder="1" applyAlignment="1">
      <alignment horizontal="center" vertical="center"/>
    </xf>
    <xf numFmtId="166" fontId="106" fillId="69" borderId="66" xfId="4" applyNumberFormat="1" applyFont="1" applyFill="1" applyBorder="1" applyAlignment="1" applyProtection="1">
      <alignment horizontal="center" vertical="center"/>
      <protection hidden="1"/>
    </xf>
    <xf numFmtId="166" fontId="106" fillId="69" borderId="127" xfId="4" applyNumberFormat="1" applyFont="1" applyFill="1" applyBorder="1" applyAlignment="1" applyProtection="1">
      <alignment horizontal="center" vertical="center"/>
      <protection hidden="1"/>
    </xf>
    <xf numFmtId="0" fontId="48" fillId="0" borderId="126" xfId="0" applyFont="1" applyBorder="1" applyAlignment="1">
      <alignment horizontal="left"/>
    </xf>
    <xf numFmtId="0" fontId="48" fillId="0" borderId="113" xfId="0" applyFont="1" applyBorder="1" applyAlignment="1">
      <alignment horizontal="left"/>
    </xf>
    <xf numFmtId="0" fontId="73" fillId="0" borderId="3" xfId="0" applyFont="1" applyBorder="1"/>
    <xf numFmtId="0" fontId="107" fillId="0" borderId="66" xfId="2878" applyFont="1" applyBorder="1" applyAlignment="1">
      <alignment horizontal="center"/>
    </xf>
    <xf numFmtId="0" fontId="107" fillId="0" borderId="128" xfId="2878" applyFont="1" applyBorder="1" applyAlignment="1">
      <alignment horizontal="center"/>
    </xf>
    <xf numFmtId="0" fontId="109" fillId="0" borderId="126" xfId="2879" applyFont="1" applyBorder="1" applyAlignment="1">
      <alignment horizontal="left"/>
    </xf>
    <xf numFmtId="0" fontId="73" fillId="0" borderId="113" xfId="0" applyFont="1" applyBorder="1"/>
    <xf numFmtId="189" fontId="48" fillId="0" borderId="126" xfId="0" applyNumberFormat="1" applyFont="1" applyBorder="1" applyAlignment="1">
      <alignment horizontal="center" vertical="center"/>
    </xf>
    <xf numFmtId="189" fontId="48" fillId="0" borderId="113" xfId="0" applyNumberFormat="1" applyFont="1" applyBorder="1" applyAlignment="1">
      <alignment horizontal="center" vertical="center"/>
    </xf>
    <xf numFmtId="189" fontId="48" fillId="0" borderId="3" xfId="0" applyNumberFormat="1" applyFont="1" applyBorder="1" applyAlignment="1">
      <alignment horizontal="center" vertical="center"/>
    </xf>
    <xf numFmtId="189" fontId="48" fillId="0" borderId="64" xfId="0" applyNumberFormat="1" applyFont="1" applyBorder="1" applyAlignment="1">
      <alignment horizontal="center" vertical="center"/>
    </xf>
    <xf numFmtId="0" fontId="73" fillId="0" borderId="64" xfId="0" applyFont="1" applyBorder="1" applyAlignment="1">
      <alignment horizontal="center" vertical="center"/>
    </xf>
    <xf numFmtId="0" fontId="86" fillId="68" borderId="114" xfId="2000" applyFont="1" applyFill="1" applyBorder="1" applyAlignment="1" applyProtection="1">
      <alignment horizontal="center" vertical="center" wrapText="1"/>
      <protection hidden="1"/>
    </xf>
    <xf numFmtId="0" fontId="86" fillId="68" borderId="5" xfId="2000" applyFont="1" applyFill="1" applyBorder="1" applyAlignment="1" applyProtection="1">
      <alignment horizontal="center" vertical="center" wrapText="1"/>
      <protection hidden="1"/>
    </xf>
    <xf numFmtId="0" fontId="86" fillId="68" borderId="130" xfId="2000" applyFont="1" applyFill="1" applyBorder="1" applyAlignment="1" applyProtection="1">
      <alignment horizontal="center" vertical="center" wrapText="1"/>
      <protection hidden="1"/>
    </xf>
    <xf numFmtId="0" fontId="86" fillId="68" borderId="4" xfId="2000" applyFont="1" applyFill="1" applyBorder="1" applyAlignment="1" applyProtection="1">
      <alignment horizontal="center" vertical="center" wrapText="1"/>
      <protection hidden="1"/>
    </xf>
    <xf numFmtId="0" fontId="107" fillId="0" borderId="128" xfId="0" applyFont="1" applyBorder="1" applyAlignment="1">
      <alignment horizontal="center" vertical="center"/>
    </xf>
    <xf numFmtId="0" fontId="107" fillId="0" borderId="126" xfId="0" applyFont="1" applyBorder="1" applyAlignment="1">
      <alignment horizontal="center" vertical="center"/>
    </xf>
    <xf numFmtId="0" fontId="107" fillId="0" borderId="3" xfId="0" applyFont="1" applyBorder="1" applyAlignment="1">
      <alignment horizontal="center" vertical="center"/>
    </xf>
    <xf numFmtId="0" fontId="107" fillId="0" borderId="5" xfId="0" applyFont="1" applyBorder="1" applyAlignment="1">
      <alignment horizontal="center"/>
    </xf>
    <xf numFmtId="0" fontId="48" fillId="0" borderId="129" xfId="0" applyFont="1" applyBorder="1" applyAlignment="1">
      <alignment horizontal="center"/>
    </xf>
    <xf numFmtId="0" fontId="48" fillId="0" borderId="114" xfId="0" applyFont="1" applyBorder="1" applyAlignment="1">
      <alignment horizontal="center"/>
    </xf>
    <xf numFmtId="0" fontId="48" fillId="0" borderId="130" xfId="0" applyFont="1" applyBorder="1" applyAlignment="1">
      <alignment horizontal="center"/>
    </xf>
    <xf numFmtId="0" fontId="107" fillId="0" borderId="66" xfId="0" applyFont="1" applyBorder="1" applyAlignment="1">
      <alignment horizontal="center"/>
    </xf>
    <xf numFmtId="0" fontId="107" fillId="0" borderId="127" xfId="0" applyFont="1" applyBorder="1" applyAlignment="1">
      <alignment horizontal="center"/>
    </xf>
    <xf numFmtId="0" fontId="107" fillId="0" borderId="128" xfId="0" applyFont="1" applyBorder="1" applyAlignment="1">
      <alignment horizontal="center"/>
    </xf>
    <xf numFmtId="0" fontId="107" fillId="0" borderId="66" xfId="0" applyFont="1" applyBorder="1" applyAlignment="1">
      <alignment horizontal="left"/>
    </xf>
    <xf numFmtId="0" fontId="107" fillId="0" borderId="127" xfId="0" applyFont="1" applyBorder="1" applyAlignment="1">
      <alignment horizontal="left"/>
    </xf>
    <xf numFmtId="0" fontId="40" fillId="0" borderId="128" xfId="0" applyFont="1" applyBorder="1" applyAlignment="1">
      <alignment horizontal="left"/>
    </xf>
    <xf numFmtId="3" fontId="108" fillId="0" borderId="66" xfId="0" applyNumberFormat="1" applyFont="1" applyBorder="1" applyAlignment="1">
      <alignment horizontal="center" vertical="center"/>
    </xf>
    <xf numFmtId="3" fontId="2" fillId="0" borderId="128" xfId="0" applyNumberFormat="1" applyFont="1" applyBorder="1"/>
    <xf numFmtId="0" fontId="107" fillId="74" borderId="64" xfId="2878" applyFont="1" applyFill="1" applyBorder="1" applyAlignment="1" applyProtection="1">
      <alignment horizontal="left"/>
      <protection locked="0"/>
    </xf>
    <xf numFmtId="0" fontId="0" fillId="0" borderId="64" xfId="0" applyBorder="1" applyProtection="1">
      <protection locked="0"/>
    </xf>
    <xf numFmtId="0" fontId="108" fillId="0" borderId="66" xfId="0" applyFont="1" applyBorder="1" applyAlignment="1">
      <alignment horizontal="left"/>
    </xf>
    <xf numFmtId="0" fontId="108" fillId="0" borderId="127" xfId="0" applyFont="1" applyBorder="1" applyAlignment="1">
      <alignment horizontal="left"/>
    </xf>
    <xf numFmtId="0" fontId="0" fillId="0" borderId="128" xfId="0" applyBorder="1" applyAlignment="1">
      <alignment horizontal="left"/>
    </xf>
    <xf numFmtId="0" fontId="107" fillId="0" borderId="129" xfId="0" applyFont="1" applyBorder="1" applyAlignment="1">
      <alignment vertical="top" wrapText="1"/>
    </xf>
    <xf numFmtId="0" fontId="108" fillId="0" borderId="7" xfId="0" applyFont="1" applyBorder="1" applyAlignment="1">
      <alignment wrapText="1"/>
    </xf>
    <xf numFmtId="0" fontId="108" fillId="0" borderId="66" xfId="2880" applyFont="1" applyBorder="1" applyAlignment="1">
      <alignment horizontal="left"/>
    </xf>
    <xf numFmtId="0" fontId="108" fillId="0" borderId="128" xfId="2880" quotePrefix="1" applyFont="1" applyBorder="1" applyAlignment="1">
      <alignment horizontal="left"/>
    </xf>
    <xf numFmtId="0" fontId="107" fillId="74" borderId="126" xfId="2878" applyFont="1" applyFill="1"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07" fillId="74" borderId="66" xfId="2878" applyFont="1" applyFill="1" applyBorder="1" applyAlignment="1" applyProtection="1">
      <alignment horizontal="left"/>
      <protection locked="0"/>
    </xf>
    <xf numFmtId="0" fontId="0" fillId="0" borderId="128" xfId="0" applyBorder="1" applyAlignment="1" applyProtection="1">
      <alignment horizontal="left"/>
      <protection locked="0"/>
    </xf>
    <xf numFmtId="0" fontId="108" fillId="0" borderId="130" xfId="0" applyFont="1" applyBorder="1" applyAlignment="1">
      <alignment vertical="top" wrapText="1"/>
    </xf>
    <xf numFmtId="0" fontId="2" fillId="0" borderId="4" xfId="0" applyFont="1" applyBorder="1"/>
    <xf numFmtId="0" fontId="107" fillId="0" borderId="129" xfId="0" applyFont="1" applyBorder="1" applyAlignment="1">
      <alignment vertical="center" wrapText="1"/>
    </xf>
    <xf numFmtId="0" fontId="107" fillId="0" borderId="130" xfId="0" applyFont="1" applyBorder="1" applyAlignment="1">
      <alignment vertical="center" wrapText="1"/>
    </xf>
    <xf numFmtId="0" fontId="107" fillId="0" borderId="7" xfId="0" applyFont="1" applyBorder="1" applyAlignment="1">
      <alignment vertical="center" wrapText="1"/>
    </xf>
    <xf numFmtId="0" fontId="107" fillId="0" borderId="4" xfId="0" applyFont="1" applyBorder="1" applyAlignment="1">
      <alignment vertical="center" wrapText="1"/>
    </xf>
    <xf numFmtId="0" fontId="2" fillId="35" borderId="114" xfId="2878" applyFill="1" applyBorder="1" applyAlignment="1">
      <alignment vertical="center"/>
    </xf>
    <xf numFmtId="0" fontId="2" fillId="35" borderId="110" xfId="2878" applyFill="1" applyBorder="1" applyAlignment="1">
      <alignment vertical="center"/>
    </xf>
    <xf numFmtId="0" fontId="2" fillId="35" borderId="111" xfId="2878" applyFill="1" applyBorder="1"/>
    <xf numFmtId="0" fontId="2" fillId="35" borderId="118" xfId="2878" applyFill="1" applyBorder="1"/>
    <xf numFmtId="0" fontId="2" fillId="35" borderId="112" xfId="2878" applyFill="1" applyBorder="1" applyAlignment="1">
      <alignment horizontal="left" vertical="center"/>
    </xf>
    <xf numFmtId="0" fontId="2" fillId="35" borderId="110" xfId="2878" applyFill="1" applyBorder="1" applyAlignment="1">
      <alignment horizontal="left" vertical="center"/>
    </xf>
    <xf numFmtId="0" fontId="40" fillId="35" borderId="129" xfId="2878" applyFont="1" applyFill="1" applyBorder="1" applyAlignment="1">
      <alignment horizontal="left" vertical="center"/>
    </xf>
    <xf numFmtId="0" fontId="40" fillId="35" borderId="115" xfId="2878" applyFont="1" applyFill="1" applyBorder="1" applyAlignment="1">
      <alignment horizontal="left" vertical="center"/>
    </xf>
    <xf numFmtId="0" fontId="40" fillId="35" borderId="119" xfId="2878" applyFont="1" applyFill="1" applyBorder="1" applyAlignment="1">
      <alignment horizontal="left" vertical="center"/>
    </xf>
    <xf numFmtId="0" fontId="40" fillId="35" borderId="122" xfId="2878" applyFont="1" applyFill="1" applyBorder="1" applyAlignment="1">
      <alignment horizontal="left" vertical="center"/>
    </xf>
    <xf numFmtId="0" fontId="2" fillId="35" borderId="112" xfId="2878" applyFill="1" applyBorder="1" applyAlignment="1">
      <alignment horizontal="left"/>
    </xf>
    <xf numFmtId="0" fontId="2" fillId="35" borderId="110" xfId="2878" applyFill="1" applyBorder="1" applyAlignment="1">
      <alignment horizontal="left"/>
    </xf>
    <xf numFmtId="0" fontId="107" fillId="0" borderId="64" xfId="2880" applyFont="1" applyBorder="1" applyAlignment="1">
      <alignment horizontal="center"/>
    </xf>
    <xf numFmtId="0" fontId="107" fillId="0" borderId="64" xfId="2880" applyFont="1" applyBorder="1" applyAlignment="1">
      <alignment horizontal="center" vertical="center"/>
    </xf>
    <xf numFmtId="0" fontId="0" fillId="0" borderId="3" xfId="0" applyBorder="1"/>
    <xf numFmtId="0" fontId="107" fillId="0" borderId="64" xfId="0" applyFont="1" applyBorder="1" applyAlignment="1">
      <alignment horizontal="center"/>
    </xf>
    <xf numFmtId="0" fontId="2" fillId="0" borderId="64" xfId="0" applyFont="1" applyBorder="1" applyAlignment="1">
      <alignment horizontal="center"/>
    </xf>
    <xf numFmtId="0" fontId="0" fillId="0" borderId="64" xfId="0" applyBorder="1" applyAlignment="1">
      <alignment horizontal="center"/>
    </xf>
    <xf numFmtId="0" fontId="107" fillId="0" borderId="3" xfId="2880" applyFont="1" applyBorder="1" applyAlignment="1">
      <alignment horizontal="center"/>
    </xf>
    <xf numFmtId="0" fontId="107" fillId="0" borderId="64" xfId="0" applyFont="1" applyBorder="1" applyAlignment="1">
      <alignment horizontal="left"/>
    </xf>
    <xf numFmtId="0" fontId="40" fillId="0" borderId="126" xfId="0" applyFont="1" applyBorder="1" applyAlignment="1">
      <alignment horizontal="center" vertical="center"/>
    </xf>
    <xf numFmtId="0" fontId="40" fillId="0" borderId="113" xfId="0" applyFont="1" applyBorder="1" applyAlignment="1">
      <alignment horizontal="center" vertical="center"/>
    </xf>
    <xf numFmtId="0" fontId="40" fillId="0" borderId="3" xfId="0" applyFont="1" applyBorder="1" applyAlignment="1">
      <alignment horizontal="center" vertical="center"/>
    </xf>
    <xf numFmtId="0" fontId="0" fillId="0" borderId="128" xfId="0" applyBorder="1" applyAlignment="1">
      <alignment horizontal="center" vertical="center"/>
    </xf>
    <xf numFmtId="3" fontId="108" fillId="0" borderId="127" xfId="0" applyNumberFormat="1" applyFont="1" applyBorder="1" applyAlignment="1">
      <alignment horizontal="center" vertical="center"/>
    </xf>
    <xf numFmtId="3" fontId="108" fillId="0" borderId="128" xfId="0" applyNumberFormat="1" applyFont="1" applyBorder="1" applyAlignment="1">
      <alignment horizontal="center" vertical="center"/>
    </xf>
    <xf numFmtId="0" fontId="108" fillId="3" borderId="126" xfId="0" applyFont="1" applyFill="1" applyBorder="1" applyAlignment="1" applyProtection="1">
      <alignment horizontal="center" vertical="center"/>
      <protection hidden="1"/>
    </xf>
    <xf numFmtId="0" fontId="108" fillId="3" borderId="3" xfId="0" applyFont="1" applyFill="1" applyBorder="1" applyAlignment="1" applyProtection="1">
      <alignment horizontal="center" vertical="center"/>
      <protection hidden="1"/>
    </xf>
    <xf numFmtId="0" fontId="138" fillId="0" borderId="115" xfId="2880" applyFont="1" applyBorder="1" applyAlignment="1">
      <alignment horizontal="left" wrapText="1"/>
    </xf>
    <xf numFmtId="0" fontId="138" fillId="0" borderId="0" xfId="0" applyFont="1" applyAlignment="1">
      <alignment horizontal="left" wrapText="1"/>
    </xf>
    <xf numFmtId="0" fontId="138" fillId="0" borderId="115" xfId="0" applyFont="1" applyBorder="1" applyAlignment="1">
      <alignment horizontal="left" wrapText="1"/>
    </xf>
    <xf numFmtId="0" fontId="86" fillId="0" borderId="115" xfId="0" applyFont="1" applyBorder="1" applyAlignment="1">
      <alignment horizontal="left" wrapText="1"/>
    </xf>
    <xf numFmtId="0" fontId="86" fillId="0" borderId="0" xfId="0" applyFont="1" applyAlignment="1">
      <alignment horizontal="left" wrapText="1"/>
    </xf>
    <xf numFmtId="0" fontId="86" fillId="0" borderId="115" xfId="0" applyFont="1" applyBorder="1" applyAlignment="1">
      <alignment wrapText="1"/>
    </xf>
    <xf numFmtId="0" fontId="86" fillId="0" borderId="0" xfId="0" applyFont="1" applyAlignment="1">
      <alignment wrapText="1"/>
    </xf>
    <xf numFmtId="0" fontId="2" fillId="0" borderId="127" xfId="0" applyFont="1" applyBorder="1" applyAlignment="1">
      <alignment horizontal="center"/>
    </xf>
    <xf numFmtId="0" fontId="0" fillId="0" borderId="128" xfId="0" applyBorder="1" applyAlignment="1">
      <alignment horizontal="center"/>
    </xf>
    <xf numFmtId="0" fontId="107" fillId="0" borderId="66" xfId="2880" applyFont="1" applyBorder="1" applyAlignment="1">
      <alignment horizontal="center"/>
    </xf>
    <xf numFmtId="0" fontId="0" fillId="0" borderId="113" xfId="0" applyBorder="1"/>
    <xf numFmtId="0" fontId="107" fillId="0" borderId="128" xfId="2880" applyFont="1" applyBorder="1" applyAlignment="1">
      <alignment horizontal="center"/>
    </xf>
    <xf numFmtId="3" fontId="108" fillId="73" borderId="64" xfId="2879" applyNumberFormat="1" applyFont="1" applyFill="1" applyBorder="1" applyAlignment="1" applyProtection="1">
      <alignment horizontal="center"/>
      <protection locked="0"/>
    </xf>
    <xf numFmtId="0" fontId="108" fillId="73" borderId="64" xfId="2239" applyNumberFormat="1" applyFont="1" applyFill="1" applyBorder="1" applyAlignment="1" applyProtection="1">
      <alignment horizontal="center"/>
      <protection locked="0"/>
    </xf>
    <xf numFmtId="0" fontId="66" fillId="73" borderId="64" xfId="0" applyFont="1" applyFill="1" applyBorder="1" applyAlignment="1" applyProtection="1">
      <alignment horizontal="center"/>
      <protection locked="0"/>
    </xf>
    <xf numFmtId="3" fontId="108" fillId="73" borderId="66" xfId="2879" applyNumberFormat="1" applyFont="1" applyFill="1" applyBorder="1" applyAlignment="1" applyProtection="1">
      <alignment horizontal="center"/>
      <protection locked="0"/>
    </xf>
    <xf numFmtId="3" fontId="108" fillId="73" borderId="128" xfId="2879" applyNumberFormat="1" applyFont="1" applyFill="1" applyBorder="1" applyAlignment="1" applyProtection="1">
      <alignment horizontal="center"/>
      <protection locked="0"/>
    </xf>
    <xf numFmtId="3" fontId="108" fillId="0" borderId="64" xfId="0" applyNumberFormat="1" applyFont="1" applyBorder="1" applyAlignment="1">
      <alignment horizontal="center" vertical="center"/>
    </xf>
    <xf numFmtId="0" fontId="108" fillId="0" borderId="64" xfId="2880" applyFont="1" applyBorder="1"/>
    <xf numFmtId="0" fontId="108" fillId="0" borderId="64" xfId="0" applyFont="1" applyBorder="1"/>
    <xf numFmtId="0" fontId="107" fillId="0" borderId="64" xfId="2880" applyFont="1" applyBorder="1" applyAlignment="1">
      <alignment vertical="top"/>
    </xf>
    <xf numFmtId="0" fontId="108" fillId="0" borderId="126" xfId="0" applyFont="1" applyBorder="1" applyAlignment="1">
      <alignment vertical="top"/>
    </xf>
    <xf numFmtId="0" fontId="108" fillId="0" borderId="3" xfId="0" applyFont="1" applyBorder="1" applyAlignment="1">
      <alignment vertical="top"/>
    </xf>
    <xf numFmtId="0" fontId="108" fillId="0" borderId="64" xfId="0" applyFont="1" applyBorder="1" applyAlignment="1">
      <alignment vertical="top"/>
    </xf>
    <xf numFmtId="0" fontId="107" fillId="0" borderId="64" xfId="2880" applyFont="1" applyBorder="1" applyAlignment="1">
      <alignment horizontal="left"/>
    </xf>
    <xf numFmtId="3" fontId="108" fillId="0" borderId="66" xfId="2880" applyNumberFormat="1" applyFont="1" applyBorder="1" applyAlignment="1">
      <alignment horizontal="center"/>
    </xf>
    <xf numFmtId="3" fontId="108" fillId="0" borderId="128" xfId="2880" applyNumberFormat="1" applyFont="1" applyBorder="1" applyAlignment="1">
      <alignment horizontal="center"/>
    </xf>
    <xf numFmtId="3" fontId="108" fillId="0" borderId="66" xfId="0" applyNumberFormat="1" applyFont="1" applyBorder="1" applyAlignment="1">
      <alignment horizontal="center"/>
    </xf>
    <xf numFmtId="3" fontId="108" fillId="0" borderId="128" xfId="0" applyNumberFormat="1" applyFont="1" applyBorder="1" applyAlignment="1">
      <alignment horizontal="center"/>
    </xf>
    <xf numFmtId="0" fontId="108" fillId="0" borderId="66" xfId="2239" applyNumberFormat="1" applyFont="1" applyFill="1" applyBorder="1" applyAlignment="1" applyProtection="1">
      <alignment horizontal="center"/>
    </xf>
    <xf numFmtId="0" fontId="108" fillId="0" borderId="128" xfId="2239" applyNumberFormat="1" applyFont="1" applyFill="1" applyBorder="1" applyAlignment="1" applyProtection="1">
      <alignment horizontal="center"/>
    </xf>
    <xf numFmtId="0" fontId="108" fillId="0" borderId="66" xfId="0" applyFont="1" applyBorder="1" applyAlignment="1">
      <alignment horizontal="center"/>
    </xf>
    <xf numFmtId="0" fontId="108" fillId="0" borderId="128" xfId="0" applyFont="1" applyBorder="1" applyAlignment="1">
      <alignment horizontal="center"/>
    </xf>
    <xf numFmtId="0" fontId="0" fillId="0" borderId="66" xfId="0" applyBorder="1" applyAlignment="1">
      <alignment horizontal="center"/>
    </xf>
    <xf numFmtId="0" fontId="108" fillId="73" borderId="64" xfId="0" applyFont="1" applyFill="1" applyBorder="1" applyAlignment="1" applyProtection="1">
      <alignment horizontal="center" vertical="center"/>
      <protection locked="0"/>
    </xf>
    <xf numFmtId="0" fontId="0" fillId="73" borderId="64" xfId="0" applyFill="1" applyBorder="1" applyAlignment="1" applyProtection="1">
      <alignment horizontal="center"/>
      <protection locked="0"/>
    </xf>
    <xf numFmtId="1" fontId="108" fillId="73" borderId="64" xfId="2239" applyNumberFormat="1" applyFont="1" applyFill="1" applyBorder="1" applyAlignment="1" applyProtection="1">
      <alignment horizontal="center"/>
      <protection locked="0"/>
    </xf>
    <xf numFmtId="166" fontId="106" fillId="69" borderId="64" xfId="4" applyNumberFormat="1" applyFont="1" applyFill="1" applyBorder="1" applyAlignment="1" applyProtection="1">
      <alignment horizontal="center" vertical="center"/>
      <protection hidden="1"/>
    </xf>
    <xf numFmtId="0" fontId="48" fillId="0" borderId="3" xfId="0" applyFont="1" applyBorder="1" applyAlignment="1">
      <alignment horizontal="left"/>
    </xf>
    <xf numFmtId="186" fontId="86" fillId="68" borderId="64" xfId="2506" applyNumberFormat="1" applyFont="1" applyFill="1" applyBorder="1" applyAlignment="1" applyProtection="1">
      <alignment horizontal="center" vertical="center" wrapText="1"/>
      <protection hidden="1"/>
    </xf>
    <xf numFmtId="2" fontId="86" fillId="68" borderId="64" xfId="2506" applyNumberFormat="1" applyFont="1" applyFill="1" applyBorder="1" applyAlignment="1" applyProtection="1">
      <alignment horizontal="center" vertical="center" wrapText="1"/>
      <protection hidden="1"/>
    </xf>
    <xf numFmtId="2" fontId="86" fillId="68" borderId="126" xfId="2506" applyNumberFormat="1" applyFont="1" applyFill="1" applyBorder="1" applyAlignment="1" applyProtection="1">
      <alignment horizontal="center" vertical="center" wrapText="1"/>
      <protection hidden="1"/>
    </xf>
    <xf numFmtId="2" fontId="86" fillId="68" borderId="3" xfId="2506" applyNumberFormat="1" applyFont="1" applyFill="1" applyBorder="1" applyAlignment="1" applyProtection="1">
      <alignment horizontal="center" vertical="center" wrapText="1"/>
      <protection hidden="1"/>
    </xf>
    <xf numFmtId="0" fontId="86" fillId="68" borderId="95" xfId="2000" applyFont="1" applyFill="1" applyBorder="1" applyAlignment="1" applyProtection="1">
      <alignment horizontal="center" vertical="center" wrapText="1"/>
      <protection hidden="1"/>
    </xf>
    <xf numFmtId="0" fontId="65" fillId="0" borderId="95" xfId="0" applyFont="1" applyBorder="1" applyAlignment="1">
      <alignment vertical="center" wrapText="1"/>
    </xf>
    <xf numFmtId="0" fontId="65" fillId="35" borderId="95" xfId="0" applyFont="1" applyFill="1" applyBorder="1" applyAlignment="1">
      <alignment horizontal="center" vertical="center" wrapText="1"/>
    </xf>
    <xf numFmtId="0" fontId="65" fillId="35" borderId="95" xfId="0" applyFont="1" applyFill="1" applyBorder="1" applyAlignment="1">
      <alignment horizontal="center" vertical="center"/>
    </xf>
    <xf numFmtId="0" fontId="37" fillId="0" borderId="96" xfId="2001" applyBorder="1" applyAlignment="1">
      <alignment horizontal="center" vertical="top"/>
    </xf>
    <xf numFmtId="0" fontId="99" fillId="0" borderId="96" xfId="2001" applyFont="1" applyBorder="1" applyAlignment="1">
      <alignment horizontal="center"/>
    </xf>
    <xf numFmtId="0" fontId="101" fillId="0" borderId="96" xfId="2001" applyFont="1" applyBorder="1" applyAlignment="1">
      <alignment horizontal="center"/>
    </xf>
    <xf numFmtId="0" fontId="65" fillId="35" borderId="96" xfId="0" applyFont="1" applyFill="1" applyBorder="1" applyAlignment="1">
      <alignment horizontal="center" vertical="center" wrapText="1"/>
    </xf>
    <xf numFmtId="0" fontId="65" fillId="35" borderId="96" xfId="0" applyFont="1" applyFill="1" applyBorder="1" applyAlignment="1">
      <alignment horizontal="center" vertical="center"/>
    </xf>
    <xf numFmtId="0" fontId="66" fillId="35" borderId="95" xfId="0" applyFont="1" applyFill="1" applyBorder="1" applyAlignment="1">
      <alignment horizontal="center" vertical="center" wrapText="1"/>
    </xf>
    <xf numFmtId="0" fontId="65" fillId="0" borderId="95" xfId="0" applyFont="1" applyBorder="1" applyAlignment="1">
      <alignment horizontal="left" vertical="center" wrapText="1"/>
    </xf>
    <xf numFmtId="0" fontId="66" fillId="0" borderId="95" xfId="0" applyFont="1" applyBorder="1" applyAlignment="1">
      <alignment horizontal="center" vertical="center"/>
    </xf>
    <xf numFmtId="0" fontId="0" fillId="3" borderId="96" xfId="0" applyFill="1" applyBorder="1"/>
    <xf numFmtId="0" fontId="80" fillId="0" borderId="96" xfId="0" applyFont="1" applyBorder="1" applyAlignment="1">
      <alignment horizontal="center" vertical="top"/>
    </xf>
    <xf numFmtId="0" fontId="80" fillId="0" borderId="127" xfId="0" applyFont="1" applyBorder="1" applyAlignment="1">
      <alignment horizontal="center" vertical="top"/>
    </xf>
    <xf numFmtId="0" fontId="80" fillId="0" borderId="128" xfId="0" applyFont="1" applyBorder="1" applyAlignment="1">
      <alignment horizontal="center" vertical="top"/>
    </xf>
    <xf numFmtId="0" fontId="85" fillId="0" borderId="0" xfId="0" applyFont="1" applyAlignment="1">
      <alignment horizontal="left" vertical="center" indent="5"/>
    </xf>
  </cellXfs>
  <cellStyles count="2882">
    <cellStyle name="_x0010_“+ˆÉ•?pý¤" xfId="2129" xr:uid="{21478050-15CA-48ED-8956-3FFC4AD2ADAA}"/>
    <cellStyle name="_x0010_“+ˆÉ•?pý¤ 2" xfId="2130" xr:uid="{969634D0-C365-4A2B-AD81-B7588F010FA7}"/>
    <cellStyle name="1" xfId="2131" xr:uid="{B65FDDEA-C7E6-4D19-AC31-7F84D8E61E5B}"/>
    <cellStyle name="2" xfId="2132" xr:uid="{90DB89CD-B095-4694-974D-790F89905614}"/>
    <cellStyle name="20% - Accent1" xfId="21" builtinId="30" customBuiltin="1"/>
    <cellStyle name="20% - Accent1 2" xfId="58" xr:uid="{54E03A7F-517A-41DE-8BC4-598A94460D94}"/>
    <cellStyle name="20% - Accent1 2 2" xfId="2134" xr:uid="{06E49BB1-431F-479A-8731-A9E4ED401CF6}"/>
    <cellStyle name="20% - Accent1 2 3" xfId="2133" xr:uid="{D47A4131-504B-4EA9-9A92-28A9F612DDAF}"/>
    <cellStyle name="20% - Accent1 3" xfId="2135" xr:uid="{71A052DB-B301-4EF9-B750-66510D10F51A}"/>
    <cellStyle name="20% - Accent2" xfId="24" builtinId="34" customBuiltin="1"/>
    <cellStyle name="20% - Accent2 2" xfId="59" xr:uid="{EFA950EC-7E41-4BF0-8D40-BE2BC7E44D12}"/>
    <cellStyle name="20% - Accent2 2 2" xfId="2137" xr:uid="{C2CCD02C-B9D0-4C31-BCAA-E14373C9BD76}"/>
    <cellStyle name="20% - Accent2 2 3" xfId="2136" xr:uid="{1D87E457-5208-408D-B689-64E4FCF9371E}"/>
    <cellStyle name="20% - Accent2 3" xfId="2138" xr:uid="{996A8A0A-0336-4414-BA0E-38E42A5D70EE}"/>
    <cellStyle name="20% - Accent3" xfId="27" builtinId="38" customBuiltin="1"/>
    <cellStyle name="20% - Accent3 2" xfId="60" xr:uid="{945FFB13-9DA3-46CD-8499-CA8C459D8556}"/>
    <cellStyle name="20% - Accent3 2 2" xfId="2140" xr:uid="{036C8070-2707-45D5-B57B-EF14D7A679E1}"/>
    <cellStyle name="20% - Accent3 2 3" xfId="2139" xr:uid="{6EDA6B63-15DB-4020-ADAA-DBC5EBFD4458}"/>
    <cellStyle name="20% - Accent3 3" xfId="2141" xr:uid="{8BE71E2D-E9D6-4C0D-B567-3F040DF20D70}"/>
    <cellStyle name="20% - Accent4" xfId="30" builtinId="42" customBuiltin="1"/>
    <cellStyle name="20% - Accent4 2" xfId="61" xr:uid="{6B2794DE-E2AC-4590-AA81-F14CF5361DC9}"/>
    <cellStyle name="20% - Accent4 2 2" xfId="2143" xr:uid="{E0625D35-0B2B-435D-B178-F463DD6E45F8}"/>
    <cellStyle name="20% - Accent4 2 3" xfId="2142" xr:uid="{0EF2E1BE-C874-42DD-9921-5087D4A5ED09}"/>
    <cellStyle name="20% - Accent4 3" xfId="2144" xr:uid="{48E69B65-4B35-4078-9111-872B11A53A7B}"/>
    <cellStyle name="20% - Accent5" xfId="33" builtinId="46" customBuiltin="1"/>
    <cellStyle name="20% - Accent5 2" xfId="62" xr:uid="{D00BA206-3578-4697-A2D5-FC8465D03DB5}"/>
    <cellStyle name="20% - Accent6" xfId="36" builtinId="50" customBuiltin="1"/>
    <cellStyle name="20% - Accent6 2" xfId="63" xr:uid="{47B0F686-E7AB-4003-A796-C05A2FC5FEAF}"/>
    <cellStyle name="40% - Accent1" xfId="22" builtinId="31" customBuiltin="1"/>
    <cellStyle name="40% - Accent1 2" xfId="64" xr:uid="{0CEEE699-D76E-4E78-9A69-57775EA16DBE}"/>
    <cellStyle name="40% - Accent2" xfId="25" builtinId="35" customBuiltin="1"/>
    <cellStyle name="40% - Accent2 2" xfId="65" xr:uid="{90145506-C782-4AB2-8760-2E0BF56102B0}"/>
    <cellStyle name="40% - Accent3" xfId="28" builtinId="39" customBuiltin="1"/>
    <cellStyle name="40% - Accent3 2" xfId="66" xr:uid="{31C0E02A-0190-4BFF-AC26-6D636E74E554}"/>
    <cellStyle name="40% - Accent3 2 2" xfId="2146" xr:uid="{B505588B-8A80-408D-8B94-F577941AE661}"/>
    <cellStyle name="40% - Accent3 2 3" xfId="2145" xr:uid="{E151EBE8-DFE8-4D66-8AF5-C90AC92AC9E6}"/>
    <cellStyle name="40% - Accent3 3" xfId="2147" xr:uid="{D5BA62BB-0326-4372-8549-935B705FEF09}"/>
    <cellStyle name="40% - Accent4" xfId="31" builtinId="43" customBuiltin="1"/>
    <cellStyle name="40% - Accent4 2" xfId="67" xr:uid="{F7ED0281-0AF1-4543-B914-EA5CA36B98AC}"/>
    <cellStyle name="40% - Accent5" xfId="34" builtinId="47" customBuiltin="1"/>
    <cellStyle name="40% - Accent5 2" xfId="68" xr:uid="{8D7EBBA0-F374-4482-BB89-9913B0F818F0}"/>
    <cellStyle name="40% - Accent6" xfId="37" builtinId="51" customBuiltin="1"/>
    <cellStyle name="40% - Accent6 2" xfId="69" xr:uid="{EC789F58-56F6-467E-A0EE-FA2C014E45B2}"/>
    <cellStyle name="60% - Accent1 2" xfId="70" xr:uid="{C3227D30-AFB0-4DEE-B4CB-BD0F14E499D2}"/>
    <cellStyle name="60% - Accent1 3" xfId="40" xr:uid="{74C00A05-9673-4BB7-B72A-E2606DD4176D}"/>
    <cellStyle name="60% - Accent2 2" xfId="71" xr:uid="{BC0D67D0-41C9-43BD-A7A0-21829519C3FC}"/>
    <cellStyle name="60% - Accent2 3" xfId="41" xr:uid="{5BFA2432-BB14-4D45-B268-6347F36989D7}"/>
    <cellStyle name="60% - Accent3 2" xfId="72" xr:uid="{E4C7C429-4302-48F7-908D-6123ED0C5D9C}"/>
    <cellStyle name="60% - Accent3 2 2" xfId="2149" xr:uid="{29B491D4-82EB-43D7-B220-DBFBAC1F413B}"/>
    <cellStyle name="60% - Accent3 2 3" xfId="2148" xr:uid="{C939BCAB-B08B-4121-9B6B-3B427FF5BBC9}"/>
    <cellStyle name="60% - Accent3 3" xfId="2150" xr:uid="{E70B6244-6783-471B-99B5-132A450586E5}"/>
    <cellStyle name="60% - Accent3 4" xfId="42" xr:uid="{3CAF0E45-26F0-44AD-ADC3-A534034E7D1F}"/>
    <cellStyle name="60% - Accent4 2" xfId="73" xr:uid="{49D2DB60-14BD-404B-B598-60272EF1933C}"/>
    <cellStyle name="60% - Accent4 2 2" xfId="2152" xr:uid="{4BF4F046-7D9C-4592-838B-2AA4CF1D9923}"/>
    <cellStyle name="60% - Accent4 2 3" xfId="2151" xr:uid="{3C081695-DADA-4818-8A5D-D14390366DA5}"/>
    <cellStyle name="60% - Accent4 3" xfId="2153" xr:uid="{2BD1620B-752D-45DC-911E-BA10FEF945DF}"/>
    <cellStyle name="60% - Accent4 4" xfId="43" xr:uid="{440C0BA3-7AFB-4B2B-BE69-A0024BF5DDE2}"/>
    <cellStyle name="60% - Accent5 2" xfId="74" xr:uid="{7A53C657-C356-43AC-8E07-1E1293CA7FEB}"/>
    <cellStyle name="60% - Accent5 3" xfId="44" xr:uid="{B528EE8B-2A67-48F9-9366-20A046F4BA30}"/>
    <cellStyle name="60% - Accent6 2" xfId="75" xr:uid="{D5296CED-C8AA-4876-9F36-5C7C2253DA42}"/>
    <cellStyle name="60% - Accent6 2 2" xfId="2155" xr:uid="{B86D4C40-F685-4B9D-8688-B7E53976A3D4}"/>
    <cellStyle name="60% - Accent6 2 3" xfId="2154" xr:uid="{4F1A10BE-4994-4AC8-B619-04D796F4A965}"/>
    <cellStyle name="60% - Accent6 3" xfId="2156" xr:uid="{90B948A1-7439-4E04-9D3F-8ACCDBEA4201}"/>
    <cellStyle name="60% - Accent6 4" xfId="45" xr:uid="{44E20889-B63F-4E13-8757-55BA085EEAC1}"/>
    <cellStyle name="Accent1" xfId="20" builtinId="29" customBuiltin="1"/>
    <cellStyle name="Accent1 2" xfId="76" xr:uid="{62D688BC-B2EB-4CC9-9FA8-B2A604410919}"/>
    <cellStyle name="Accent2" xfId="23" builtinId="33" customBuiltin="1"/>
    <cellStyle name="Accent2 2" xfId="77" xr:uid="{A8D99543-BC79-4537-AEBF-47E0133FA4A8}"/>
    <cellStyle name="Accent3" xfId="26" builtinId="37" customBuiltin="1"/>
    <cellStyle name="Accent3 2" xfId="78" xr:uid="{64E26DF1-E9F1-438F-9112-8FDC3E312EE6}"/>
    <cellStyle name="Accent4" xfId="29" builtinId="41" customBuiltin="1"/>
    <cellStyle name="Accent4 2" xfId="79" xr:uid="{FC262CC1-4FCC-4E4A-96FA-0B60AE58B4F2}"/>
    <cellStyle name="Accent5" xfId="32" builtinId="45" customBuiltin="1"/>
    <cellStyle name="Accent5 2" xfId="80" xr:uid="{744F1686-5FC7-46CD-9A4E-77E9F15440BB}"/>
    <cellStyle name="Accent6" xfId="35" builtinId="49" customBuiltin="1"/>
    <cellStyle name="Accent6 2" xfId="81" xr:uid="{9ED9DA11-192A-4F08-A3CB-3201FC57014F}"/>
    <cellStyle name="Actual Date" xfId="2157" xr:uid="{1DD5C5BB-7634-4D80-B4AB-4C797CF46432}"/>
    <cellStyle name="Actual Date 2" xfId="2158" xr:uid="{A0F59414-8F43-4A1B-98F7-ED0A3BF16946}"/>
    <cellStyle name="Bad" xfId="10" builtinId="27" customBuiltin="1"/>
    <cellStyle name="Bad 2" xfId="82" xr:uid="{A8C32689-3277-4327-AC3E-D153598313D6}"/>
    <cellStyle name="Calc Currency (0)" xfId="2159" xr:uid="{5143BC5C-DFB5-41A8-9394-4989CA170A10}"/>
    <cellStyle name="Calc Currency (2)" xfId="2160" xr:uid="{6CA1ADBE-6F68-41D5-827A-0F8C4BC29088}"/>
    <cellStyle name="Calc Percent (0)" xfId="2161" xr:uid="{E6A132B5-F4CB-452A-B33D-219C2B10F4B7}"/>
    <cellStyle name="Calc Percent (1)" xfId="2162" xr:uid="{2EA68A37-A4EA-4C39-93F3-0506C8C6A983}"/>
    <cellStyle name="Calc Percent (2)" xfId="2163" xr:uid="{1B194F50-CB86-41E5-8948-7564AC174793}"/>
    <cellStyle name="Calc Units (0)" xfId="2164" xr:uid="{27B59B81-2168-4C39-8502-19D6BBEF3468}"/>
    <cellStyle name="Calc Units (1)" xfId="2165" xr:uid="{B1056BCF-7DA3-4066-ADDD-C801F2D6193B}"/>
    <cellStyle name="Calc Units (2)" xfId="2166" xr:uid="{46D0B35D-1C10-4E74-8C9B-98C149D8B176}"/>
    <cellStyle name="Calculation" xfId="13" builtinId="22" customBuiltin="1"/>
    <cellStyle name="Calculation 2" xfId="83" xr:uid="{01B91282-0345-45A3-817D-17D7949C2217}"/>
    <cellStyle name="Calculation 2 10" xfId="2634" xr:uid="{A76C150E-36BD-49A3-878E-C94A3D48DF3B}"/>
    <cellStyle name="Calculation 2 10 2" xfId="2802" xr:uid="{11A486F3-E03E-4BAA-94A1-EF30F4B9E533}"/>
    <cellStyle name="Calculation 2 11" xfId="2513" xr:uid="{E1344FAE-F1F4-4CF3-BD99-5EBF06549A79}"/>
    <cellStyle name="Calculation 2 12" xfId="2529" xr:uid="{3E780849-A704-4FA3-8639-B2F805E5FDB9}"/>
    <cellStyle name="Calculation 2 2" xfId="2479" xr:uid="{8C3E8191-E937-448A-8BA6-CF2AAF7E2D95}"/>
    <cellStyle name="Calculation 2 2 10" xfId="2509" xr:uid="{7691CC96-86D3-408D-8541-7729C7C5DD82}"/>
    <cellStyle name="Calculation 2 2 2" xfId="2638" xr:uid="{84ACD5A5-211C-49DB-93E8-4E8D4C90B32D}"/>
    <cellStyle name="Calculation 2 2 2 2" xfId="2806" xr:uid="{E017A4D5-E0C9-451E-8869-DE000AAB4900}"/>
    <cellStyle name="Calculation 2 2 3" xfId="2511" xr:uid="{1BB61181-32CE-437D-8B39-BD845B04A8E2}"/>
    <cellStyle name="Calculation 2 2 3 2" xfId="2522" xr:uid="{3498CB16-F95B-4049-BB83-D148C6A04592}"/>
    <cellStyle name="Calculation 2 2 4" xfId="2666" xr:uid="{DBFAD916-2D09-4ECE-B28A-768081A72F9D}"/>
    <cellStyle name="Calculation 2 2 4 2" xfId="2834" xr:uid="{169C7DDE-D275-40DE-89A7-C139E390497C}"/>
    <cellStyle name="Calculation 2 2 5" xfId="2585" xr:uid="{59836E7F-D750-415D-9A8C-973FA2F35984}"/>
    <cellStyle name="Calculation 2 2 5 2" xfId="2753" xr:uid="{62C0B99A-9BDE-4082-ADD5-BB82A906C134}"/>
    <cellStyle name="Calculation 2 2 6" xfId="2677" xr:uid="{6F0CEE99-7EDA-4F59-8E4D-1FFD651B6034}"/>
    <cellStyle name="Calculation 2 2 6 2" xfId="2845" xr:uid="{EBBAD700-582B-46E3-AFA9-9EB89F415068}"/>
    <cellStyle name="Calculation 2 2 7" xfId="2545" xr:uid="{386AEF17-CB08-4A94-AC32-B3FC7F47EE96}"/>
    <cellStyle name="Calculation 2 2 7 2" xfId="2713" xr:uid="{E39E9923-81B4-43FE-A462-AA8E1BC53CA4}"/>
    <cellStyle name="Calculation 2 2 8" xfId="2665" xr:uid="{8B430AE7-498E-45E5-BCC6-6C86EE118D7D}"/>
    <cellStyle name="Calculation 2 2 8 2" xfId="2833" xr:uid="{6C727792-4E2E-426D-B590-C57CBBC35EB2}"/>
    <cellStyle name="Calculation 2 2 9" xfId="2530" xr:uid="{D34F5E8F-5FB8-4C32-BB1E-6D8621B66A01}"/>
    <cellStyle name="Calculation 2 3" xfId="2484" xr:uid="{C1458202-CDD5-4042-AAC1-0A9202217DE1}"/>
    <cellStyle name="Calculation 2 3 10" xfId="2707" xr:uid="{98110026-D06D-460D-B2A1-6EA111C1073E}"/>
    <cellStyle name="Calculation 2 3 2" xfId="2641" xr:uid="{13994B33-B764-425B-B608-6225EDD5A9F6}"/>
    <cellStyle name="Calculation 2 3 2 2" xfId="2809" xr:uid="{07FBFDD6-41F4-4AEC-9983-70B4EEEF335D}"/>
    <cellStyle name="Calculation 2 3 3" xfId="2512" xr:uid="{4CE54375-F3C2-4020-94F4-5F6DBC1AF87E}"/>
    <cellStyle name="Calculation 2 3 3 2" xfId="2521" xr:uid="{D18E9BFF-E19D-457A-A451-1145CA1D832F}"/>
    <cellStyle name="Calculation 2 3 4" xfId="2669" xr:uid="{4987BB02-0D8A-41D3-A6EB-600CF020BD54}"/>
    <cellStyle name="Calculation 2 3 4 2" xfId="2837" xr:uid="{27C913C4-C8D3-477C-B31F-8A3E3F1E12F0}"/>
    <cellStyle name="Calculation 2 3 5" xfId="2584" xr:uid="{041A2179-E02D-4360-8524-77454590BB92}"/>
    <cellStyle name="Calculation 2 3 5 2" xfId="2752" xr:uid="{C84CCD5A-9CFB-46F5-BC82-1D86578D5ACC}"/>
    <cellStyle name="Calculation 2 3 6" xfId="2553" xr:uid="{08887C19-028E-4442-997D-BBAEFBD32570}"/>
    <cellStyle name="Calculation 2 3 6 2" xfId="2721" xr:uid="{537131FF-9FF0-4BF3-A196-4F0EC3F582AE}"/>
    <cellStyle name="Calculation 2 3 7" xfId="2605" xr:uid="{F9E7DE89-990D-4FFF-AB84-4C3FC12DF3B7}"/>
    <cellStyle name="Calculation 2 3 7 2" xfId="2773" xr:uid="{5BE76A5B-ED00-4199-9C8C-35EC538676D7}"/>
    <cellStyle name="Calculation 2 3 8" xfId="2622" xr:uid="{DEC34448-ECC1-43B4-9B3D-26A3C2F79FCB}"/>
    <cellStyle name="Calculation 2 3 8 2" xfId="2790" xr:uid="{F2BC03C6-7B15-4D95-8EC8-E73AF76EE6B0}"/>
    <cellStyle name="Calculation 2 3 9" xfId="2533" xr:uid="{18FFDA0F-E951-493D-8F32-D74057476BE2}"/>
    <cellStyle name="Calculation 2 4" xfId="2551" xr:uid="{888D2EC6-AA0F-4D71-9EFB-DC24C96A948F}"/>
    <cellStyle name="Calculation 2 4 2" xfId="2719" xr:uid="{C1373008-7E31-4C00-BDFC-DF3BC4E04E51}"/>
    <cellStyle name="Calculation 2 5" xfId="2630" xr:uid="{AF7BE014-2AB6-46E9-9106-1438E13AFB04}"/>
    <cellStyle name="Calculation 2 5 2" xfId="2798" xr:uid="{65A7A29D-A230-4DFF-A239-F1EFEAE3EB03}"/>
    <cellStyle name="Calculation 2 6" xfId="2554" xr:uid="{F365EEAE-78E9-448C-8A4A-E80F9428A9AB}"/>
    <cellStyle name="Calculation 2 6 2" xfId="2722" xr:uid="{693B2D1F-FE34-4457-9E12-A93CE58FF62B}"/>
    <cellStyle name="Calculation 2 7" xfId="2626" xr:uid="{BFEC764E-DDB8-4084-909C-9B716FFBDCD6}"/>
    <cellStyle name="Calculation 2 7 2" xfId="2794" xr:uid="{17ABDDF6-3D86-4124-B061-0BCB5157F4B8}"/>
    <cellStyle name="Calculation 2 8" xfId="2550" xr:uid="{5C16961F-3A91-481A-851A-3D42738C4C6B}"/>
    <cellStyle name="Calculation 2 8 2" xfId="2718" xr:uid="{D4B79C97-BD6F-41F6-937A-53FFF95FA785}"/>
    <cellStyle name="Calculation 2 9" xfId="2609" xr:uid="{BC7E1EEA-1072-4479-BCC7-ADE99422CD3D}"/>
    <cellStyle name="Calculation 2 9 2" xfId="2777" xr:uid="{9FCDA06F-4E0D-4061-B4D1-80A736910E1E}"/>
    <cellStyle name="Check Cell" xfId="15" builtinId="23" customBuiltin="1"/>
    <cellStyle name="Check Cell 2" xfId="84" xr:uid="{A39627A6-AEF4-424C-8FBD-CEA592F0F66A}"/>
    <cellStyle name="Comma" xfId="4" builtinId="3"/>
    <cellStyle name="Comma [00]" xfId="2167" xr:uid="{FEDC1683-B7F9-4E05-9993-3531AA8CC8B7}"/>
    <cellStyle name="Comma 10" xfId="2005" xr:uid="{417B4C0A-36FD-4D4B-A380-8D1953E36D9E}"/>
    <cellStyle name="Comma 10 2" xfId="2168" xr:uid="{325A45BC-5D42-4F14-B339-02920FFC1DC5}"/>
    <cellStyle name="Comma 11" xfId="2006" xr:uid="{BB0C36D7-A463-4030-8EEA-4DDC478D5C3E}"/>
    <cellStyle name="Comma 11 2" xfId="2007" xr:uid="{1705AF98-C52B-4132-B53C-3A39C493B466}"/>
    <cellStyle name="Comma 12" xfId="2008" xr:uid="{FC5CEB14-4DC8-4E70-8898-CB91A21E091F}"/>
    <cellStyle name="Comma 12 2" xfId="2009" xr:uid="{D3308498-E6D5-4EDB-A363-FB597958CA4C}"/>
    <cellStyle name="Comma 13" xfId="2010" xr:uid="{24A3FD31-7143-4168-8A73-CB205A1803C0}"/>
    <cellStyle name="Comma 13 2" xfId="2169" xr:uid="{A70C1666-1DB9-40CD-BC22-CBD644B119BE}"/>
    <cellStyle name="Comma 13 2 2" xfId="2170" xr:uid="{55BEB1FC-9C2E-41B9-94D8-70A189477FDD}"/>
    <cellStyle name="Comma 13 3" xfId="2171" xr:uid="{9D5E4158-3CB9-4C06-B864-1140621E8222}"/>
    <cellStyle name="Comma 14" xfId="2126" xr:uid="{13AE2A7A-279E-4F98-8413-C7E7A5DFE259}"/>
    <cellStyle name="Comma 14 2" xfId="2172" xr:uid="{900188A7-0CFE-4757-8341-97F9BB86BA5E}"/>
    <cellStyle name="Comma 15" xfId="2877" xr:uid="{9A862CEC-FCA9-471B-8136-742FB4D26E59}"/>
    <cellStyle name="Comma 15 2" xfId="2173" xr:uid="{021BFE84-115A-4C34-88CC-E27D1267C2F3}"/>
    <cellStyle name="Comma 16" xfId="2174" xr:uid="{F9435C0B-B63B-47DB-B10E-49ECA5734DFF}"/>
    <cellStyle name="Comma 16 2" xfId="2175" xr:uid="{017FDE7C-5510-4244-8BF5-C9D6A83C95A1}"/>
    <cellStyle name="Comma 17 2" xfId="2176" xr:uid="{6CCF3C91-7703-43EF-BCAB-BBD937975485}"/>
    <cellStyle name="Comma 18" xfId="2177" xr:uid="{39011FDA-EAB2-4F25-A3AE-771D39166931}"/>
    <cellStyle name="Comma 19" xfId="2178" xr:uid="{E256E481-4D41-4D49-8F56-DA0A255F7003}"/>
    <cellStyle name="Comma 2" xfId="47" xr:uid="{F933A1B3-499E-45F1-9F2A-56EB580B13EA}"/>
    <cellStyle name="Comma 2 106" xfId="2179" xr:uid="{8CEFB85E-2697-45C8-9946-548EAB03F9EA}"/>
    <cellStyle name="Comma 2 2" xfId="48" xr:uid="{126746C5-F53A-49CF-898A-762C149F6604}"/>
    <cellStyle name="Comma 2 2 2" xfId="2013" xr:uid="{7B78B39C-AA1C-4932-A07C-083B8566D857}"/>
    <cellStyle name="Comma 2 2 2 2" xfId="2180" xr:uid="{FA693D92-D939-42E9-9452-773D4D2A3B79}"/>
    <cellStyle name="Comma 2 2 2 3" xfId="2181" xr:uid="{B4E05C8E-38B6-4990-933E-4E6D051E9044}"/>
    <cellStyle name="Comma 2 2 3" xfId="2014" xr:uid="{1D689698-8AD5-4041-9A54-05DC9B98A7C9}"/>
    <cellStyle name="Comma 2 2 4" xfId="2182" xr:uid="{73FAFE0B-7E71-4DB5-844D-1FBA0D3A7F59}"/>
    <cellStyle name="Comma 2 2 5" xfId="2183" xr:uid="{82C0A0A9-53D7-44A2-95BF-C01623BFADD4}"/>
    <cellStyle name="Comma 2 2 6" xfId="2012" xr:uid="{0621AEAC-4DD9-4946-8A62-D231D8E38950}"/>
    <cellStyle name="Comma 2 3" xfId="2015" xr:uid="{E44A0650-C371-4231-8DE5-B3A92C4DBBF4}"/>
    <cellStyle name="Comma 2 3 2" xfId="2016" xr:uid="{77BC32A0-E321-4043-8F3E-7A288E17274F}"/>
    <cellStyle name="Comma 2 3 2 2" xfId="2184" xr:uid="{647058C7-E98C-4109-929D-02A5B0ECB9AD}"/>
    <cellStyle name="Comma 2 3 3" xfId="2185" xr:uid="{AEC9AB47-E07F-4715-811A-88E79548FDFB}"/>
    <cellStyle name="Comma 2 4" xfId="2017" xr:uid="{169A7DFE-A2AE-47B4-BC29-9AF6FA16F92A}"/>
    <cellStyle name="Comma 2 4 2" xfId="2186" xr:uid="{BA2D7335-A501-417F-AA3E-E56227A92081}"/>
    <cellStyle name="Comma 2 4 3" xfId="2187" xr:uid="{9382E1CA-507D-4C0B-B676-8DFA2A6B7263}"/>
    <cellStyle name="Comma 2 4 3 2" xfId="2188" xr:uid="{DD95F845-B226-4C1F-BAC0-E26FA9A8CC0B}"/>
    <cellStyle name="Comma 2 4 4" xfId="2189" xr:uid="{8EBD34B2-2F2B-4496-A01E-F609E17A8E24}"/>
    <cellStyle name="Comma 2 4 5" xfId="2190" xr:uid="{9E5B9411-58A8-4632-AB1D-4CB8640BA0F4}"/>
    <cellStyle name="Comma 2 4 6" xfId="2191" xr:uid="{F70026CD-8E9A-4F8A-A94C-ECC4B3D5F11E}"/>
    <cellStyle name="Comma 2 5" xfId="2018" xr:uid="{E67DEAE0-94BA-4FC8-942E-C4E1F4470EE0}"/>
    <cellStyle name="Comma 2 5 2" xfId="2192" xr:uid="{3BD435C3-19D5-47B1-8089-0C20F0F56310}"/>
    <cellStyle name="Comma 2 6" xfId="2019" xr:uid="{18AD7376-2F2B-4607-80ED-BF27A42B6992}"/>
    <cellStyle name="Comma 2 7" xfId="2193" xr:uid="{F10CE397-F99D-47EF-9AD7-FCA8F5B1F3BD}"/>
    <cellStyle name="Comma 2 8" xfId="2011" xr:uid="{1D7BA316-792B-4A83-B569-48B6BAA2317D}"/>
    <cellStyle name="Comma 20" xfId="2194" xr:uid="{FA2B0596-F088-446C-8ED7-D4F96950651F}"/>
    <cellStyle name="Comma 21" xfId="2195" xr:uid="{D42BF9ED-3FA8-40FB-8301-B8E6B88B7F30}"/>
    <cellStyle name="Comma 22" xfId="2196" xr:uid="{6404DD9C-18E0-48DC-A714-DCF8FE3C8BD9}"/>
    <cellStyle name="Comma 3" xfId="49" xr:uid="{05243B2E-BF47-45CE-B77E-6D2156A40C28}"/>
    <cellStyle name="Comma 3 2" xfId="2021" xr:uid="{3D5F99D8-B963-4A43-8238-EC909A02311D}"/>
    <cellStyle name="Comma 3 2 10" xfId="2197" xr:uid="{8E23915F-FC62-411E-85D2-5D7F91091DC8}"/>
    <cellStyle name="Comma 3 2 11" xfId="2198" xr:uid="{F7F2BBDC-39E0-4974-AF23-317A60869554}"/>
    <cellStyle name="Comma 3 2 2" xfId="2199" xr:uid="{13E0CBFF-C7DF-43A8-97F4-B0D5B7B2425B}"/>
    <cellStyle name="Comma 3 2 2 2" xfId="2200" xr:uid="{28582DFB-CF56-4B8F-A6E9-0B71B3DE5345}"/>
    <cellStyle name="Comma 3 2 3" xfId="2201" xr:uid="{30CECCA4-93EE-4538-9B37-2F8C2A13B8F6}"/>
    <cellStyle name="Comma 3 2 4" xfId="2202" xr:uid="{0385561E-0A6B-405A-9E95-3AA931C19B84}"/>
    <cellStyle name="Comma 3 2 5" xfId="2203" xr:uid="{D1246CFB-8121-43B2-8FF4-3D68F58E5C1D}"/>
    <cellStyle name="Comma 3 2 6" xfId="2204" xr:uid="{02FF78A5-064D-44CB-A775-78B20A258639}"/>
    <cellStyle name="Comma 3 2 6 2" xfId="2205" xr:uid="{224136D3-9A0E-4FCD-A93C-4934AB1C0504}"/>
    <cellStyle name="Comma 3 2 7" xfId="2206" xr:uid="{41F9B876-B000-49F2-AEEC-6910A89F9708}"/>
    <cellStyle name="Comma 3 2 7 2" xfId="2207" xr:uid="{50C2F020-A4C3-4245-AD33-75AB21A0C4B9}"/>
    <cellStyle name="Comma 3 2 8" xfId="2208" xr:uid="{0A6BFB51-7705-4EEF-9875-5C5FDFCC479B}"/>
    <cellStyle name="Comma 3 2 8 2" xfId="2209" xr:uid="{E586B0E3-D41A-419F-AC84-08AAE47F9AD5}"/>
    <cellStyle name="Comma 3 2 9" xfId="2210" xr:uid="{76A28FC9-F39B-4B45-9931-726325119375}"/>
    <cellStyle name="Comma 3 2 9 2" xfId="2211" xr:uid="{E8271E79-72D9-484E-B4E8-1A8CDB731840}"/>
    <cellStyle name="Comma 3 3" xfId="2212" xr:uid="{96FA34DE-F1D3-428B-A7F0-D3780156D215}"/>
    <cellStyle name="Comma 3 3 2" xfId="2213" xr:uid="{E6DE17A8-D7CF-4C60-8E56-84A3F96C8C7F}"/>
    <cellStyle name="Comma 3 3 3" xfId="2214" xr:uid="{0BAA8B53-3514-4A77-B415-DC1EB9C1EFA6}"/>
    <cellStyle name="Comma 3 3 4" xfId="2215" xr:uid="{70F8B8A5-6425-4FF5-8624-4B2705090016}"/>
    <cellStyle name="Comma 3 3 5" xfId="2216" xr:uid="{D9F48EAB-7E41-4F81-B343-87F6707A8285}"/>
    <cellStyle name="Comma 3 3 6" xfId="2217" xr:uid="{6205AAD3-86F0-4DCD-9E80-924CD94C6672}"/>
    <cellStyle name="Comma 3 4" xfId="2218" xr:uid="{B9EFE12E-22F8-4D1C-A60E-CD609EBFDB36}"/>
    <cellStyle name="Comma 3 5" xfId="2219" xr:uid="{681E953C-8A8C-4842-AA0B-E9BC67C5C054}"/>
    <cellStyle name="Comma 3 6" xfId="2220" xr:uid="{0E030C9E-36AC-46CA-926F-74004C320C72}"/>
    <cellStyle name="Comma 3 7" xfId="2221" xr:uid="{3ECE655C-D0D7-4D33-9FE5-86B8322C834B}"/>
    <cellStyle name="Comma 3 8" xfId="2222" xr:uid="{0EA00FAF-F496-4E25-A6E8-4C64F2C4D2E7}"/>
    <cellStyle name="Comma 3 9" xfId="2020" xr:uid="{FF4913FF-DA0F-44A5-8C54-A5C561778D09}"/>
    <cellStyle name="Comma 4" xfId="50" xr:uid="{673C3640-DC52-46A7-8F2A-15DFB37083A7}"/>
    <cellStyle name="Comma 4 10" xfId="2022" xr:uid="{31837385-6398-4AD5-ADDF-B00354C33084}"/>
    <cellStyle name="Comma 4 2" xfId="2023" xr:uid="{A0D8B1E8-E1E2-4015-A75F-1596610F31A5}"/>
    <cellStyle name="Comma 4 2 2" xfId="2024" xr:uid="{3800D1FF-D59E-44E3-843F-535773BA97B4}"/>
    <cellStyle name="Comma 4 2 2 2" xfId="2025" xr:uid="{04F894F5-B272-491F-834D-1DA7ADD1D4CD}"/>
    <cellStyle name="Comma 4 2 3" xfId="2026" xr:uid="{B40725E4-16C5-45B0-8C9E-B14827DE28DB}"/>
    <cellStyle name="Comma 4 3" xfId="2027" xr:uid="{F1B6EE80-8D63-485E-A180-1308285FBEE6}"/>
    <cellStyle name="Comma 4 3 2" xfId="2028" xr:uid="{C45F4AF7-9883-4BC7-BBCB-4874E3D1571D}"/>
    <cellStyle name="Comma 4 4" xfId="2029" xr:uid="{51ABAFB6-8F91-459C-99B0-DF97EA9D6460}"/>
    <cellStyle name="Comma 4 5" xfId="2030" xr:uid="{5B88210E-8134-4822-A283-5E2CA15A85C6}"/>
    <cellStyle name="Comma 4 5 2" xfId="2031" xr:uid="{64148205-4630-47EA-81C6-CABEC2E64DA0}"/>
    <cellStyle name="Comma 4 6" xfId="2223" xr:uid="{50A5FCEA-885F-46F4-B1E7-F8EE1329A208}"/>
    <cellStyle name="Comma 4 7" xfId="2224" xr:uid="{B5F3F757-83E9-4B57-B33C-62BC3DDDA0DB}"/>
    <cellStyle name="Comma 4 8" xfId="2225" xr:uid="{B2EA05FB-78A9-43A2-913A-0A29C6AB4047}"/>
    <cellStyle name="Comma 4 9" xfId="2226" xr:uid="{0AFCFBE4-EAFB-4125-B313-AF76AC3347EF}"/>
    <cellStyle name="Comma 5" xfId="46" xr:uid="{4839E281-0722-4B48-8ECC-898C80B51803}"/>
    <cellStyle name="Comma 5 2" xfId="2033" xr:uid="{91A2EA92-8E36-4C70-8565-5BA4972FEBDF}"/>
    <cellStyle name="Comma 5 2 2" xfId="2034" xr:uid="{D5E26804-2735-4225-B7F2-F27B7375A2D2}"/>
    <cellStyle name="Comma 5 2 2 2" xfId="2035" xr:uid="{2E8E8653-6557-4F83-B974-E9F22CECBA4C}"/>
    <cellStyle name="Comma 5 2 3" xfId="2036" xr:uid="{5CEA8BF8-FA06-426E-A1F4-7F459F905105}"/>
    <cellStyle name="Comma 5 3" xfId="2037" xr:uid="{DA6D59B2-CC13-4CB8-BB0B-F4B0752E1E16}"/>
    <cellStyle name="Comma 5 3 2" xfId="2038" xr:uid="{F1D616A8-61C3-411B-BE2C-89A7D78A125D}"/>
    <cellStyle name="Comma 5 4" xfId="2039" xr:uid="{F20B22A9-BA72-4B75-B0BD-D819D0AF946D}"/>
    <cellStyle name="Comma 5 5" xfId="2040" xr:uid="{39213E24-1AFE-4B2C-AFDB-CCAAFA37607C}"/>
    <cellStyle name="Comma 5 6" xfId="2041" xr:uid="{CDBF226E-8FDB-44E9-ABBF-6CEADAA1BBDA}"/>
    <cellStyle name="Comma 5 7" xfId="2032" xr:uid="{A21EC8F6-C752-44B6-A130-DACCD7E6C4EC}"/>
    <cellStyle name="Comma 6" xfId="2042" xr:uid="{C1F8496D-D983-41CD-8C61-C40B18B6D73A}"/>
    <cellStyle name="Comma 6 2" xfId="2043" xr:uid="{6335CF7C-2D1E-4B0A-8422-9714F1976FF6}"/>
    <cellStyle name="Comma 6 2 2" xfId="2044" xr:uid="{FE17528E-423F-4D8C-9D26-16F3F174FB25}"/>
    <cellStyle name="Comma 6 3" xfId="2045" xr:uid="{3A0321BF-328B-42EE-9D9A-94CF5BE97BB3}"/>
    <cellStyle name="Comma 6 3 2" xfId="2227" xr:uid="{4A9A3879-7698-4766-A9A4-745D7983AABF}"/>
    <cellStyle name="Comma 6 3 3" xfId="2228" xr:uid="{ACFC1B35-680A-4B1D-98AC-E3F32C408CD1}"/>
    <cellStyle name="Comma 6 4" xfId="2046" xr:uid="{3009730B-771B-4E5A-BA6D-E7CD0DDB9643}"/>
    <cellStyle name="Comma 7" xfId="2047" xr:uid="{4FA33F44-7672-4C2F-8A0B-B5EB3FEEC8F1}"/>
    <cellStyle name="Comma 7 2" xfId="2048" xr:uid="{13541F01-D5DA-429A-8525-5E31301F645C}"/>
    <cellStyle name="Comma 7 3" xfId="2229" xr:uid="{F6317824-6119-4650-B9DE-E81ED3CE8DA2}"/>
    <cellStyle name="Comma 7 4" xfId="2230" xr:uid="{E07B6204-D9EF-48B3-B0AD-9E1DBA8A04DA}"/>
    <cellStyle name="Comma 8" xfId="2049" xr:uid="{EB46304D-ACA4-417E-B750-A36CB34DEADB}"/>
    <cellStyle name="Comma 8 2" xfId="2231" xr:uid="{0A4ADD93-453D-4C5F-B745-627565F05E25}"/>
    <cellStyle name="Comma 9" xfId="2004" xr:uid="{719A11F3-2759-4652-B3C2-6C3255769745}"/>
    <cellStyle name="Comma 9 2" xfId="2232" xr:uid="{36006CCC-573A-445E-BCD5-88979D0E7B9D}"/>
    <cellStyle name="Comma 9 2 2" xfId="2233" xr:uid="{A2C397D3-54B5-4F6F-A03C-549780FAE28E}"/>
    <cellStyle name="Comma 9 3" xfId="2234" xr:uid="{B40B7A90-5AD2-45D7-8DEE-8788B5C579FE}"/>
    <cellStyle name="Comma 9 4" xfId="2235" xr:uid="{A7D93BFD-5E6C-4AAE-9EB8-403DE2443032}"/>
    <cellStyle name="Comma0" xfId="2236" xr:uid="{7AC0DC1A-AF8A-430D-A962-EC5782F9A817}"/>
    <cellStyle name="CommaSimple" xfId="2237" xr:uid="{25FDBDE0-0BE1-4F53-AC34-220169A73B72}"/>
    <cellStyle name="Currency" xfId="1" builtinId="4"/>
    <cellStyle name="Currency [00]" xfId="2238" xr:uid="{9ABA1070-B751-4C1B-9D40-EAB168EAA374}"/>
    <cellStyle name="Currency 10" xfId="2239" xr:uid="{86C7EB42-46F1-4B39-9AA3-66D9BF8F85AB}"/>
    <cellStyle name="Currency 11" xfId="2240" xr:uid="{B4BC846D-EAF3-40AE-8A6D-E6841BB39FED}"/>
    <cellStyle name="Currency 11 2" xfId="2241" xr:uid="{9AA6BBFC-76BA-4279-BDF9-15D4B4C551CE}"/>
    <cellStyle name="Currency 11 2 2" xfId="2242" xr:uid="{2EB4E697-12B1-4174-9877-885AFF41E7EF}"/>
    <cellStyle name="Currency 12" xfId="2243" xr:uid="{2796AB85-54B6-4E82-B399-866B694DCEB1}"/>
    <cellStyle name="Currency 13" xfId="2244" xr:uid="{CD75B5BD-3E51-4D79-83D5-E90666161F71}"/>
    <cellStyle name="Currency 13 2" xfId="2245" xr:uid="{12B8A184-9CB0-402C-9442-43D613F83459}"/>
    <cellStyle name="Currency 14" xfId="2246" xr:uid="{3501FC84-D776-4614-BD45-6AFA0DF40F21}"/>
    <cellStyle name="Currency 14 2" xfId="2247" xr:uid="{F0F4A497-9CE4-42C3-9951-AF77E3435C64}"/>
    <cellStyle name="Currency 15" xfId="2248" xr:uid="{CA40842C-2B5E-44C2-A23C-B0C73C846432}"/>
    <cellStyle name="Currency 15 2" xfId="2249" xr:uid="{A1B2624E-F4EB-414B-9F65-BD3D1A971DD5}"/>
    <cellStyle name="Currency 16" xfId="2507" xr:uid="{E992BF5F-B2B8-45DC-9694-8D78A71B92C7}"/>
    <cellStyle name="Currency 16 2" xfId="2250" xr:uid="{1F7C2607-4C48-4260-867D-282AF1590004}"/>
    <cellStyle name="Currency 17" xfId="2251" xr:uid="{91048400-5BB7-4513-8935-9659F798E0CB}"/>
    <cellStyle name="Currency 17 2" xfId="2252" xr:uid="{DCD086A5-0B86-4ADE-9789-E32DDC594825}"/>
    <cellStyle name="Currency 18" xfId="2253" xr:uid="{D87B36A0-1E1A-478B-8BEA-7C36AE7D5EFE}"/>
    <cellStyle name="Currency 19" xfId="2254" xr:uid="{A4A8CC46-F14B-496C-931F-9EAB9A2877BA}"/>
    <cellStyle name="Currency 2" xfId="85" xr:uid="{FDB05093-82E3-4124-8E30-2577527CF1B2}"/>
    <cellStyle name="Currency 2 2" xfId="2051" xr:uid="{6EEEE276-2EB2-40C7-B644-A139257C13E7}"/>
    <cellStyle name="Currency 2 2 2" xfId="2255" xr:uid="{BC05D4C0-82A0-4B46-BEE8-A3A2B52F1115}"/>
    <cellStyle name="Currency 2 2 3" xfId="2256" xr:uid="{A9828D3A-F5D3-4489-994E-1445B200F722}"/>
    <cellStyle name="Currency 2 2 4" xfId="2257" xr:uid="{FFD3DDE7-BFC4-439B-9B3E-8C3BAD258E54}"/>
    <cellStyle name="Currency 2 3" xfId="2052" xr:uid="{EC34B6D9-D17D-40FE-A15F-2418BEE0F8D8}"/>
    <cellStyle name="Currency 2 3 2" xfId="2258" xr:uid="{1E616F99-5C0A-488E-AAF0-47B8BB971350}"/>
    <cellStyle name="Currency 2 3 3" xfId="2259" xr:uid="{8303A344-9276-4190-A85B-110B839C8B42}"/>
    <cellStyle name="Currency 2 4" xfId="2053" xr:uid="{80213D67-FB33-4C30-A998-26B6F0875BCA}"/>
    <cellStyle name="Currency 2 4 2" xfId="2260" xr:uid="{7147FB8B-3E11-4B4C-8B26-ECDADC87828E}"/>
    <cellStyle name="Currency 2 4 3" xfId="2261" xr:uid="{78830059-FCBA-46FC-8AAC-BE5929EF7B43}"/>
    <cellStyle name="Currency 2 4 3 2" xfId="2262" xr:uid="{2EA3D29E-85CC-4D1F-82D3-BA86CEB9E15E}"/>
    <cellStyle name="Currency 2 4 4" xfId="2263" xr:uid="{CA394722-A368-4686-8080-129C5295CF79}"/>
    <cellStyle name="Currency 2 5" xfId="2264" xr:uid="{0F369C06-4E69-4141-9738-1CC9542ECD64}"/>
    <cellStyle name="Currency 2 5 2" xfId="2265" xr:uid="{D9B05CDE-7DF6-4530-89B7-04877AED19F8}"/>
    <cellStyle name="Currency 2 6" xfId="2266" xr:uid="{A5CB38AE-E486-48D6-BA30-EB00E9C40950}"/>
    <cellStyle name="Currency 2 7" xfId="2267" xr:uid="{33C51FDB-7E33-4641-80D9-4C143787F587}"/>
    <cellStyle name="Currency 2 8" xfId="2268" xr:uid="{91B4D6D8-4DDB-4548-A5BC-F78E40977221}"/>
    <cellStyle name="Currency 2 9" xfId="2050" xr:uid="{659EF1AD-B0D0-494F-8AA2-1841C6DD4695}"/>
    <cellStyle name="Currency 20" xfId="2269" xr:uid="{B0E54AF4-D44E-4626-AD61-846054D5D37D}"/>
    <cellStyle name="Currency 21" xfId="2270" xr:uid="{DDB1F8E0-0D37-4D49-8F62-31EBCC0FFF7E}"/>
    <cellStyle name="Currency 22" xfId="2271" xr:uid="{B9D48946-CF36-4932-9ACB-79EE11B4E93B}"/>
    <cellStyle name="Currency 24" xfId="2272" xr:uid="{9560B95A-4101-4B51-9F1F-B2E3A77FFD2C}"/>
    <cellStyle name="Currency 3" xfId="86" xr:uid="{A689491C-5B7F-4319-9ECD-FB52FDB3C520}"/>
    <cellStyle name="Currency 3 2" xfId="2055" xr:uid="{5C6FE31C-5F78-4125-AB24-6FD5CA1621AD}"/>
    <cellStyle name="Currency 3 2 2" xfId="2273" xr:uid="{CA3BADFB-A90E-404F-8744-4695D3E5BC67}"/>
    <cellStyle name="Currency 3 3" xfId="2056" xr:uid="{E316915F-8B5E-4BD6-A8EF-C0DCCACAFE31}"/>
    <cellStyle name="Currency 3 4" xfId="2054" xr:uid="{1B0077FA-145E-48BE-BCCC-EA4D1785E30C}"/>
    <cellStyle name="Currency 4" xfId="2057" xr:uid="{4C05A5EE-4904-4863-9644-EB425EA21118}"/>
    <cellStyle name="Currency 4 2" xfId="2274" xr:uid="{5374395E-B9EC-4BCF-B466-6B63A657A684}"/>
    <cellStyle name="Currency 4 2 10" xfId="2275" xr:uid="{A217AB17-AE01-4B11-BA78-4E69B2CC7FFF}"/>
    <cellStyle name="Currency 4 2 10 2" xfId="2276" xr:uid="{06F7AE06-BC4A-43B2-99B3-3681F3721A93}"/>
    <cellStyle name="Currency 4 2 11" xfId="2277" xr:uid="{ACB879FA-2FE0-43B9-90AB-D14F7726B89A}"/>
    <cellStyle name="Currency 4 2 2" xfId="2278" xr:uid="{7EC4F1A3-53B5-4A51-B9EB-48A25A7D9664}"/>
    <cellStyle name="Currency 4 2 2 2" xfId="2279" xr:uid="{C04D3756-512A-4839-954B-21358D9AA026}"/>
    <cellStyle name="Currency 4 2 3" xfId="2280" xr:uid="{64ACD077-E4F9-4340-AB1B-CA6E79C57CF5}"/>
    <cellStyle name="Currency 4 2 4" xfId="2281" xr:uid="{21DAE80C-0278-4DFA-B0DF-38802C13527B}"/>
    <cellStyle name="Currency 4 2 5" xfId="2282" xr:uid="{6D1BDB71-7721-4270-A51D-7866F28BC008}"/>
    <cellStyle name="Currency 4 2 6" xfId="2283" xr:uid="{057CC351-D56F-4EDB-BA6F-63B82862656A}"/>
    <cellStyle name="Currency 4 2 6 2" xfId="2284" xr:uid="{A0A673E5-0BC7-4545-9A60-2A5F184930FE}"/>
    <cellStyle name="Currency 4 2 7" xfId="2285" xr:uid="{F437C2EF-1593-40FF-A00F-D4DBC58759F0}"/>
    <cellStyle name="Currency 4 2 7 2" xfId="2286" xr:uid="{B5D4957F-672D-4339-8E40-B5719C21DBB1}"/>
    <cellStyle name="Currency 4 2 8" xfId="2287" xr:uid="{87BA2652-A789-4B1C-83DA-7A12C0A9B913}"/>
    <cellStyle name="Currency 4 2 8 2" xfId="2288" xr:uid="{107E51F6-C9FA-4072-9F99-A8083646C08F}"/>
    <cellStyle name="Currency 4 2 9" xfId="2289" xr:uid="{EC87717C-5749-430B-BBEE-4E3CBF71D0DE}"/>
    <cellStyle name="Currency 4 2 9 2" xfId="2290" xr:uid="{3C439829-B218-4204-9097-7DF012B52385}"/>
    <cellStyle name="Currency 4 3" xfId="2291" xr:uid="{E56B8869-1719-4BDD-A9FB-47C54D3D00D4}"/>
    <cellStyle name="Currency 4 3 2" xfId="2292" xr:uid="{2C9E3B46-89EA-4CC1-AC0C-BA3CD9C613C2}"/>
    <cellStyle name="Currency 4 3 3" xfId="2293" xr:uid="{927490FD-10F0-462A-82B6-A7786FCD0748}"/>
    <cellStyle name="Currency 4 3 4" xfId="2294" xr:uid="{BDF3C431-5DE5-4E86-A69F-5A81FF82A720}"/>
    <cellStyle name="Currency 4 3 5" xfId="2295" xr:uid="{096D08FF-55F1-4409-9260-58B4459EA29E}"/>
    <cellStyle name="Currency 4 4" xfId="2296" xr:uid="{9911BFAA-ED21-4CB7-9B32-A6F9968B9304}"/>
    <cellStyle name="Currency 4 5" xfId="2297" xr:uid="{4A6F6396-63AF-433D-87B3-BE182BAEEF39}"/>
    <cellStyle name="Currency 5" xfId="2058" xr:uid="{D99C7A98-275E-497D-A95A-F33B44FAD7D1}"/>
    <cellStyle name="Currency 5 2" xfId="2298" xr:uid="{995ED14B-D738-4A3B-A6F7-C4E154535074}"/>
    <cellStyle name="Currency 5 3" xfId="2299" xr:uid="{CCC732BA-323F-4DCF-8BF0-A6F80B1C4506}"/>
    <cellStyle name="Currency 5 4" xfId="2300" xr:uid="{9EC0CE98-4F06-4D01-B214-B749A75839D4}"/>
    <cellStyle name="Currency 5 5" xfId="2301" xr:uid="{CBB49FD2-B648-4F29-94BA-BE491352A48D}"/>
    <cellStyle name="Currency 5 6" xfId="2302" xr:uid="{7A97B15D-74B2-47B2-B445-7DB41545AC2C}"/>
    <cellStyle name="Currency 6" xfId="2303" xr:uid="{E1D7DDCC-2A44-4973-A4A7-5C6FD0123156}"/>
    <cellStyle name="Currency 6 2" xfId="2304" xr:uid="{F3857082-BC21-4D9A-B836-8146D407F729}"/>
    <cellStyle name="Currency 6 2 2" xfId="2305" xr:uid="{AB3D7D3C-6798-426F-83F2-147176F76C7F}"/>
    <cellStyle name="Currency 7" xfId="2306" xr:uid="{7FC861B9-97B2-48A2-88A9-5DA95A0FD5D7}"/>
    <cellStyle name="Currency 7 2" xfId="2307" xr:uid="{882A0D51-C93A-41FE-A5F1-978F5191F295}"/>
    <cellStyle name="Currency 8" xfId="2308" xr:uid="{CCB760FC-F439-4465-8774-8ADBA84BEC5D}"/>
    <cellStyle name="Currency 8 2" xfId="2309" xr:uid="{100C582D-C26A-4411-95D8-7DEF65890660}"/>
    <cellStyle name="Currency 8 3" xfId="2310" xr:uid="{8FD5A7DC-B3BB-454C-9DD6-56C03B70D7C8}"/>
    <cellStyle name="Currency 8 4" xfId="2311" xr:uid="{7DEE2580-CCE6-4193-A7B9-0F34AE48C408}"/>
    <cellStyle name="Currency 8 5" xfId="2312" xr:uid="{7CBED205-2B34-4071-9D76-F6FD8D17E0A9}"/>
    <cellStyle name="Currency 8 6" xfId="2313" xr:uid="{6647D159-5016-40D8-8D96-34CAFA326F56}"/>
    <cellStyle name="Currency 9" xfId="2314" xr:uid="{C00F1912-B82A-4B0E-A42C-B1B58A3FB90D}"/>
    <cellStyle name="Currency 9 2" xfId="2315" xr:uid="{88B5598C-31B0-4105-AD9F-CE24A5737ADD}"/>
    <cellStyle name="Currency 9 3" xfId="2316" xr:uid="{12A81289-F85E-495C-90AC-8D2BACE4DF9B}"/>
    <cellStyle name="Currency Simple" xfId="2317" xr:uid="{03706CBE-D2F3-4EF2-BA98-FE978FA77237}"/>
    <cellStyle name="Date" xfId="2318" xr:uid="{34B06E37-D93D-4F63-88AE-00CE02F45A1F}"/>
    <cellStyle name="Date Short" xfId="2319" xr:uid="{18B27F13-47B6-4C2C-9D34-0D288AA0A63D}"/>
    <cellStyle name="DELTA" xfId="2320" xr:uid="{DDD30069-4FB9-402C-907D-3F7D844E582C}"/>
    <cellStyle name="Done" xfId="2500" xr:uid="{14193690-7861-4CCB-ABDF-C430C213BBB5}"/>
    <cellStyle name="Done 2" xfId="2662" xr:uid="{60CCE5F0-CDA5-4B06-82C6-B08AE5315971}"/>
    <cellStyle name="Done 2 2" xfId="2830" xr:uid="{266CA390-32A4-4C00-9E83-E1AB3B47DA47}"/>
    <cellStyle name="Done 3" xfId="2678" xr:uid="{7AA9D3E6-E689-449E-A98B-37426F46C630}"/>
    <cellStyle name="Done 3 2" xfId="2846" xr:uid="{BDF51148-229D-422A-AF2F-49A15864C4A4}"/>
    <cellStyle name="Done 4" xfId="2687" xr:uid="{682227E7-E767-4D1F-B003-1E5C135DDC86}"/>
    <cellStyle name="Done 4 2" xfId="2855" xr:uid="{10EDCBA2-1AD0-428D-8FA8-8EC78AF13AFA}"/>
    <cellStyle name="Done 5" xfId="2705" xr:uid="{ED6EB1AF-1C3F-41E3-9723-05AB5CDB3B12}"/>
    <cellStyle name="Done 5 2" xfId="2873" xr:uid="{64244ECC-BFA1-47D5-8383-51F37F9C7797}"/>
    <cellStyle name="Enter Currency (0)" xfId="2321" xr:uid="{F5BD872D-270D-4D4D-8895-C62BCD8FB0B4}"/>
    <cellStyle name="Enter Currency (2)" xfId="2322" xr:uid="{06ACAA4B-5433-46D8-BFC2-14B05592DB36}"/>
    <cellStyle name="Enter Units (0)" xfId="2323" xr:uid="{9E1C44D9-6913-4180-83F8-7B650C38D212}"/>
    <cellStyle name="Enter Units (1)" xfId="2324" xr:uid="{46CA3D7F-A886-4236-967B-88915CDD957F}"/>
    <cellStyle name="Enter Units (2)" xfId="2325" xr:uid="{8CFC9CDB-BE0C-4A88-8BAD-F130A89CADCA}"/>
    <cellStyle name="Explanatory Text" xfId="18" builtinId="53" customBuiltin="1"/>
    <cellStyle name="Explanatory Text 2" xfId="87" xr:uid="{5B7FDE49-C90B-40F5-BF6E-0CE638015834}"/>
    <cellStyle name="Fixed" xfId="2326" xr:uid="{5975E01E-4FB6-4BFF-8840-B7D7027C16D8}"/>
    <cellStyle name="Good" xfId="9" builtinId="26" customBuiltin="1"/>
    <cellStyle name="Good 2" xfId="88" xr:uid="{5BA6037E-5E9A-445D-8906-82169655CB63}"/>
    <cellStyle name="Grey" xfId="2327" xr:uid="{9AF5F306-056C-4540-8F94-BC57689A175A}"/>
    <cellStyle name="Grey 2" xfId="2328" xr:uid="{A8EED32A-F9E0-40BE-BB4D-4073D3EA8514}"/>
    <cellStyle name="HEADER" xfId="2329" xr:uid="{3900CCA2-69B6-45E2-BD86-E1EFF7C510EB}"/>
    <cellStyle name="Header1" xfId="2330" xr:uid="{22960312-CC02-4D0D-8591-A3573894DA25}"/>
    <cellStyle name="Header2" xfId="2331" xr:uid="{0DB864FB-DC36-4622-A91B-10EBE2EC92BA}"/>
    <cellStyle name="Header2 2" xfId="2332" xr:uid="{8B716915-B2EB-4536-818A-95F38DBE8E7A}"/>
    <cellStyle name="Header2 2 2" xfId="2390" xr:uid="{740A27B2-8AAD-4B7E-97F1-0704BB6881E2}"/>
    <cellStyle name="Header2 2 2 2" xfId="2495" xr:uid="{18DA4FC0-FC26-4294-8209-2DC9B2AFBA7D}"/>
    <cellStyle name="Header2 2 2 2 2" xfId="2648" xr:uid="{B010A285-E224-4CC4-8ACD-973F66AB0B42}"/>
    <cellStyle name="Header2 2 2 2 2 2" xfId="2816" xr:uid="{14E9D391-4BE1-4CA6-8995-7885106118DB}"/>
    <cellStyle name="Header2 2 2 2 3" xfId="2658" xr:uid="{DE798B68-0D4A-4CFE-B139-AC79275CDB69}"/>
    <cellStyle name="Header2 2 2 2 3 2" xfId="2826" xr:uid="{C0DFED39-2317-444C-BE97-A27D0DF166F7}"/>
    <cellStyle name="Header2 2 2 2 4" xfId="2696" xr:uid="{E305AF2F-288A-4315-9467-D25D234ED8AD}"/>
    <cellStyle name="Header2 2 2 2 4 2" xfId="2864" xr:uid="{DF676400-F49D-4E96-ADB7-033066714857}"/>
    <cellStyle name="Header2 2 2 2 5" xfId="2701" xr:uid="{D0BBC87A-5A39-496B-9AD8-031E2A9A13C4}"/>
    <cellStyle name="Header2 2 2 2 5 2" xfId="2869" xr:uid="{771DAAB8-E021-497B-9BE3-CA8D4E26D722}"/>
    <cellStyle name="Header2 2 2 2 6" xfId="2540" xr:uid="{44807264-4B77-4C3B-8D46-C777F7E61993}"/>
    <cellStyle name="Header2 2 2 3" xfId="2582" xr:uid="{FD35AE9D-D985-4397-A9F8-3172DD917AB6}"/>
    <cellStyle name="Header2 2 2 3 2" xfId="2750" xr:uid="{C9EC7BC0-133C-41E6-94AB-8A99058887BB}"/>
    <cellStyle name="Header2 2 2 4" xfId="2590" xr:uid="{AB298A9B-20DB-43A2-80BD-AE3CCCC7FD25}"/>
    <cellStyle name="Header2 2 2 4 2" xfId="2758" xr:uid="{CAF81B67-349B-4236-98E7-2C8BE3455624}"/>
    <cellStyle name="Header2 2 2 5" xfId="2575" xr:uid="{E7655E4C-7139-4B54-92D1-86B5742570A2}"/>
    <cellStyle name="Header2 2 2 5 2" xfId="2743" xr:uid="{4F0D88FF-5804-4725-88B5-78E34C690BA1}"/>
    <cellStyle name="Header2 2 2 6" xfId="2617" xr:uid="{40A18EB1-B6BE-4004-990E-E9B4629D6BC6}"/>
    <cellStyle name="Header2 2 2 6 2" xfId="2785" xr:uid="{F06C752B-FA7F-4799-8D8E-CCC092C340A4}"/>
    <cellStyle name="Header2 2 3" xfId="2610" xr:uid="{E3B48D15-CD06-4F8B-9982-27213E81666B}"/>
    <cellStyle name="Header2 2 3 2" xfId="2778" xr:uid="{8B8514B6-584B-450B-A892-40602280601A}"/>
    <cellStyle name="Header2 2 4" xfId="2602" xr:uid="{B1BDBFD6-7F51-4E4A-BCC1-049F0AAE7C51}"/>
    <cellStyle name="Header2 2 4 2" xfId="2770" xr:uid="{3EBEB146-FCF7-4022-934D-2C2BBAC1C99F}"/>
    <cellStyle name="Header2 3" xfId="2391" xr:uid="{6E39ED17-9FF2-4590-B27A-591A42164219}"/>
    <cellStyle name="Header2 3 2" xfId="2496" xr:uid="{C85AEF0B-4DA3-45D8-AFAB-3942F26CBE24}"/>
    <cellStyle name="Header2 3 2 2" xfId="2649" xr:uid="{D96DBE0E-E88F-458A-888D-938171323FC9}"/>
    <cellStyle name="Header2 3 2 2 2" xfId="2817" xr:uid="{A529276F-B811-4E7E-981E-89B9E6DA95F9}"/>
    <cellStyle name="Header2 3 2 3" xfId="2659" xr:uid="{5D9EFB6E-A924-4BF0-9C9D-9203AB69884E}"/>
    <cellStyle name="Header2 3 2 3 2" xfId="2827" xr:uid="{77322470-DF9C-4853-9F92-5BFA811BFDCB}"/>
    <cellStyle name="Header2 3 2 4" xfId="2697" xr:uid="{36A6F561-E376-4A49-90D2-083E9A46FC0C}"/>
    <cellStyle name="Header2 3 2 4 2" xfId="2865" xr:uid="{E0655132-D24B-436C-B86E-B8C6CA7D7E3E}"/>
    <cellStyle name="Header2 3 2 5" xfId="2702" xr:uid="{6A49B584-9EB1-4D25-94F4-C64171A17044}"/>
    <cellStyle name="Header2 3 2 5 2" xfId="2870" xr:uid="{B8622769-C26E-4349-A093-695C167FA42A}"/>
    <cellStyle name="Header2 3 2 6" xfId="2541" xr:uid="{7FE35E2B-7F47-4172-BB07-1241D47B131A}"/>
    <cellStyle name="Header2 3 3" xfId="2581" xr:uid="{753C8558-D53D-4A65-A738-C92E38445BC2}"/>
    <cellStyle name="Header2 3 3 2" xfId="2749" xr:uid="{EC6471CE-7151-429B-942A-AF2770ABBA8F}"/>
    <cellStyle name="Header2 3 4" xfId="2623" xr:uid="{882B4201-2531-418E-906A-3A81E5AB0E68}"/>
    <cellStyle name="Header2 3 4 2" xfId="2791" xr:uid="{DDB2902F-0F33-42AB-84D9-3CD4C8B9CA3B}"/>
    <cellStyle name="Header2 3 5" xfId="2574" xr:uid="{5F22920A-BBA5-4A6F-8D9A-21EED3128355}"/>
    <cellStyle name="Header2 3 5 2" xfId="2742" xr:uid="{B3FF4537-1019-44D5-A0CF-33EA736B07BE}"/>
    <cellStyle name="Header2 3 6" xfId="2600" xr:uid="{32EE24B5-F699-471D-A6C9-179B50AEF064}"/>
    <cellStyle name="Header2 3 6 2" xfId="2768" xr:uid="{A3DCFB07-2E6B-49EA-958E-121FB2DFA1CC}"/>
    <cellStyle name="Header2 4" xfId="2611" xr:uid="{1BF04E32-2817-4AF3-83EA-BBEEAA042561}"/>
    <cellStyle name="Header2 4 2" xfId="2779" xr:uid="{78D700A6-88DF-402B-BE88-33A60972E207}"/>
    <cellStyle name="Header2 5" xfId="2635" xr:uid="{6A04E89C-C539-43BB-8703-C4BC0E2657FB}"/>
    <cellStyle name="Header2 5 2" xfId="2803" xr:uid="{21FB84D9-3BBA-4682-B03C-115A8013575B}"/>
    <cellStyle name="Heading 1" xfId="5" builtinId="16" customBuiltin="1"/>
    <cellStyle name="Heading 1 2" xfId="89" xr:uid="{D14EB3D2-F964-45DD-A307-B743659963F7}"/>
    <cellStyle name="Heading 2" xfId="6" builtinId="17" customBuiltin="1"/>
    <cellStyle name="Heading 2 2" xfId="90" xr:uid="{3706C357-E5BF-416C-BCA1-481337A8BF0D}"/>
    <cellStyle name="Heading 3" xfId="7" builtinId="18" customBuiltin="1"/>
    <cellStyle name="Heading 3 2" xfId="91" xr:uid="{B9F482D2-000D-4027-93F9-643B74D77E85}"/>
    <cellStyle name="Heading 4" xfId="8" builtinId="19" customBuiltin="1"/>
    <cellStyle name="Heading 4 2" xfId="92" xr:uid="{83F073DE-5522-47A8-8D53-CAF3898960E0}"/>
    <cellStyle name="Heading1" xfId="2333" xr:uid="{55F4B6B6-98ED-419B-B750-257238709474}"/>
    <cellStyle name="Heading2" xfId="2334" xr:uid="{EF7D9A2E-5ED7-4E94-A052-E663B3029FCC}"/>
    <cellStyle name="HIGHLIGHT" xfId="2335" xr:uid="{B9A284DF-6B95-46B6-9F82-8F528E320E1A}"/>
    <cellStyle name="Hyperlink" xfId="2504" builtinId="8"/>
    <cellStyle name="Hyperlink 2" xfId="2059" xr:uid="{9A10272C-5CB6-47FA-A625-93C3F8E9617C}"/>
    <cellStyle name="Hyperlink 2 2" xfId="2505" xr:uid="{DE8CEE4B-2686-4937-8479-DF5619C8AA68}"/>
    <cellStyle name="Hyperlink 3" xfId="2060" xr:uid="{8BFC6BB4-4E9D-4470-9E2E-F67125F2BD84}"/>
    <cellStyle name="Hyperlink 4" xfId="2061" xr:uid="{0E3ABDF1-B339-48CF-9C41-3052D2E6BEC6}"/>
    <cellStyle name="Hyperlink 5" xfId="2127" xr:uid="{F7B88299-8F29-42D3-B44B-C8EA33D1A01D}"/>
    <cellStyle name="Hyperlink 6" xfId="2876" xr:uid="{DE0564E5-5953-4957-9BD3-C7FF42F37ACA}"/>
    <cellStyle name="Input" xfId="11" builtinId="20" customBuiltin="1"/>
    <cellStyle name="Input [yellow]" xfId="2336" xr:uid="{61F25C68-4DE6-486B-8E0D-F6A3AB478388}"/>
    <cellStyle name="Input [yellow] 2" xfId="2337" xr:uid="{52F41448-E1FB-48F8-969B-A8640795ABB7}"/>
    <cellStyle name="Input [yellow] 2 2" xfId="2481" xr:uid="{BC814AEA-1727-4C3B-A726-605D4E004B2C}"/>
    <cellStyle name="Input [yellow] 2 2 2" xfId="2492" xr:uid="{F63BAD81-4251-42E1-A719-1939332F1FF5}"/>
    <cellStyle name="Input [yellow] 2 2 2 2" xfId="2498" xr:uid="{AFBFD3A1-2960-4078-926D-83945339E29F}"/>
    <cellStyle name="Input [yellow] 2 2 2 2 2" xfId="2651" xr:uid="{16C6E1C0-FB99-403C-AB4D-8ACB07FF5A54}"/>
    <cellStyle name="Input [yellow] 2 2 2 2 2 2" xfId="2819" xr:uid="{465572AE-81DA-4370-9F8A-03ECD324CC64}"/>
    <cellStyle name="Input [yellow] 2 2 2 2 3" xfId="2661" xr:uid="{9ADA3D46-4137-423C-B9D3-FDEDEF3AAC05}"/>
    <cellStyle name="Input [yellow] 2 2 2 2 3 2" xfId="2829" xr:uid="{2BD233E6-181D-4A67-BE4F-95AEC0E9C763}"/>
    <cellStyle name="Input [yellow] 2 2 2 2 4" xfId="2699" xr:uid="{359C1E1A-C50A-4503-99C7-EBAFDD3B9D4B}"/>
    <cellStyle name="Input [yellow] 2 2 2 2 4 2" xfId="2867" xr:uid="{E131244C-835E-47D2-AE63-B05E2AF4A679}"/>
    <cellStyle name="Input [yellow] 2 2 2 2 5" xfId="2704" xr:uid="{6AE87A46-A009-4B97-87F7-30A0C0149164}"/>
    <cellStyle name="Input [yellow] 2 2 2 2 5 2" xfId="2872" xr:uid="{A78E0633-0C8C-4011-A7ED-EE80F5501C3B}"/>
    <cellStyle name="Input [yellow] 2 2 2 2 6" xfId="2543" xr:uid="{8D72C92F-BDF0-4E1A-A494-77DD7ED2E1BE}"/>
    <cellStyle name="Input [yellow] 2 2 2 3" xfId="2655" xr:uid="{EC6DCD70-1CE3-4531-8885-844611603E8C}"/>
    <cellStyle name="Input [yellow] 2 2 2 3 2" xfId="2823" xr:uid="{9C726657-A55C-4CD1-9294-8DC3118883A8}"/>
    <cellStyle name="Input [yellow] 2 2 2 4" xfId="2675" xr:uid="{908DFAD6-F72A-4F5D-ABB2-D910EABC94F0}"/>
    <cellStyle name="Input [yellow] 2 2 2 4 2" xfId="2843" xr:uid="{1C8407FD-6A6F-4275-9F63-C2FDB3C71C59}"/>
    <cellStyle name="Input [yellow] 2 2 2 5" xfId="2685" xr:uid="{CFCB9481-7438-40C4-83BE-D5A36F7C0F80}"/>
    <cellStyle name="Input [yellow] 2 2 2 5 2" xfId="2853" xr:uid="{AD48C259-9B4E-4691-93D4-C8EB4403D4D7}"/>
    <cellStyle name="Input [yellow] 2 2 2 6" xfId="2589" xr:uid="{AD7D1B36-F210-44EB-96D5-177DFF5E75FC}"/>
    <cellStyle name="Input [yellow] 2 2 2 6 2" xfId="2757" xr:uid="{4F08BBA3-E3F0-4D79-BF51-74929259516C}"/>
    <cellStyle name="Input [yellow] 2 2 3" xfId="2597" xr:uid="{54465FB5-9937-4637-9CBD-EE284BF15401}"/>
    <cellStyle name="Input [yellow] 2 2 3 2" xfId="2765" xr:uid="{FE89B7A4-C4E7-4761-BBDD-6E1FBCC96E47}"/>
    <cellStyle name="Input [yellow] 2 2 4" xfId="2549" xr:uid="{73CCE666-7952-43A2-9B1E-A10F01D04359}"/>
    <cellStyle name="Input [yellow] 2 2 4 2" xfId="2717" xr:uid="{71458D99-D04E-467A-AC49-C6230CA94743}"/>
    <cellStyle name="Input [yellow] 2 3" xfId="2388" xr:uid="{29D087A0-FC19-432B-88D6-96E6D70EB2C3}"/>
    <cellStyle name="Input [yellow] 2 3 2" xfId="2493" xr:uid="{CE853D7A-3463-42B1-BCD7-2B159117C6D9}"/>
    <cellStyle name="Input [yellow] 2 3 2 2" xfId="2646" xr:uid="{8AA9DF7D-F507-4EDA-9FF7-FF48283617EB}"/>
    <cellStyle name="Input [yellow] 2 3 2 2 2" xfId="2814" xr:uid="{2E830339-C55D-477F-B3B1-B4ADE709CC61}"/>
    <cellStyle name="Input [yellow] 2 3 2 3" xfId="2656" xr:uid="{5BA305CE-4777-4130-A03F-3264690A0C74}"/>
    <cellStyle name="Input [yellow] 2 3 2 3 2" xfId="2824" xr:uid="{760C3357-6A19-4328-B809-2A9CBE0D6951}"/>
    <cellStyle name="Input [yellow] 2 3 2 4" xfId="2694" xr:uid="{889EF0F8-84F8-4BF8-9B56-4559E82DC64A}"/>
    <cellStyle name="Input [yellow] 2 3 2 4 2" xfId="2862" xr:uid="{58E7CB36-EF7A-4A8D-ABBE-BB38A6D7EAE8}"/>
    <cellStyle name="Input [yellow] 2 3 2 5" xfId="2619" xr:uid="{01B34ECD-C30A-438A-862E-077F445DA2A7}"/>
    <cellStyle name="Input [yellow] 2 3 2 5 2" xfId="2787" xr:uid="{3B97A2D2-F7A6-49E6-BE34-9A66A883E756}"/>
    <cellStyle name="Input [yellow] 2 3 2 6" xfId="2538" xr:uid="{2358D855-3D35-4883-B0F7-A9EC84A54940}"/>
    <cellStyle name="Input [yellow] 2 3 3" xfId="2606" xr:uid="{42C196B8-FBF6-4800-B340-423F3A2DF029}"/>
    <cellStyle name="Input [yellow] 2 3 3 2" xfId="2774" xr:uid="{C7AD8DF2-A0B7-4624-8498-494394F0C771}"/>
    <cellStyle name="Input [yellow] 2 3 4" xfId="2544" xr:uid="{F60B4DAA-2323-4354-97A2-C934FA2A565F}"/>
    <cellStyle name="Input [yellow] 2 3 4 2" xfId="2712" xr:uid="{F804ED9C-90EF-4C82-BA75-990A0CA8E14D}"/>
    <cellStyle name="Input [yellow] 2 3 5" xfId="2577" xr:uid="{91550BD0-662B-4B13-A370-41E47060492D}"/>
    <cellStyle name="Input [yellow] 2 3 5 2" xfId="2745" xr:uid="{F376896D-260E-43B1-9B9B-017B00AFE1B9}"/>
    <cellStyle name="Input [yellow] 2 3 6" xfId="2615" xr:uid="{88C7722E-8F8B-4003-A155-ED0FF17309FF}"/>
    <cellStyle name="Input [yellow] 2 3 6 2" xfId="2783" xr:uid="{06A411F8-BABF-4ACA-880D-6AA0276EAA78}"/>
    <cellStyle name="Input [yellow] 2 4" xfId="2607" xr:uid="{A8C160FD-0F43-4873-87DC-02C0F5492377}"/>
    <cellStyle name="Input [yellow] 2 4 2" xfId="2775" xr:uid="{672F0860-3456-4911-AB89-D050E622F1D5}"/>
    <cellStyle name="Input [yellow] 2 5" xfId="2556" xr:uid="{16D77332-ECA0-41C0-A88D-20D090278091}"/>
    <cellStyle name="Input [yellow] 2 5 2" xfId="2724" xr:uid="{5309823A-C9F7-41D9-BECF-D26AF8E74C3D}"/>
    <cellStyle name="Input [yellow] 3" xfId="2480" xr:uid="{A08D2E59-EBB9-48B2-BB81-FDE1C7F05BE6}"/>
    <cellStyle name="Input [yellow] 3 2" xfId="2491" xr:uid="{99E03970-4FD0-45BD-85BC-6F0B445F8BA6}"/>
    <cellStyle name="Input [yellow] 3 2 2" xfId="2497" xr:uid="{4F0E32BD-A330-40C3-BE63-6512ABFCC12F}"/>
    <cellStyle name="Input [yellow] 3 2 2 2" xfId="2650" xr:uid="{4E996031-1B4D-4C9A-94C2-6666268A1F1E}"/>
    <cellStyle name="Input [yellow] 3 2 2 2 2" xfId="2818" xr:uid="{F40667EF-8B89-4654-8924-0B7D5DBB08BA}"/>
    <cellStyle name="Input [yellow] 3 2 2 3" xfId="2660" xr:uid="{6AB86407-5596-460F-B85A-93D2093C6441}"/>
    <cellStyle name="Input [yellow] 3 2 2 3 2" xfId="2828" xr:uid="{8B3F5574-C8E0-4E4D-A5C3-D4D0E4F742DD}"/>
    <cellStyle name="Input [yellow] 3 2 2 4" xfId="2698" xr:uid="{9FEC7662-808E-442D-82F3-D6EB101C0102}"/>
    <cellStyle name="Input [yellow] 3 2 2 4 2" xfId="2866" xr:uid="{81F25386-BB6D-48FF-AC65-E35A5CACCD83}"/>
    <cellStyle name="Input [yellow] 3 2 2 5" xfId="2703" xr:uid="{4E226D54-47F0-4AA0-9F40-AD0E49B92169}"/>
    <cellStyle name="Input [yellow] 3 2 2 5 2" xfId="2871" xr:uid="{A73CF9E8-9DE7-49DA-B794-AED7590B9071}"/>
    <cellStyle name="Input [yellow] 3 2 2 6" xfId="2542" xr:uid="{13601CC8-4CFE-4CAE-BD4B-0443031E9870}"/>
    <cellStyle name="Input [yellow] 3 2 3" xfId="2654" xr:uid="{C181A72E-1EF5-444C-885F-A233253E7CA4}"/>
    <cellStyle name="Input [yellow] 3 2 3 2" xfId="2822" xr:uid="{806C654D-CB45-400C-96DE-43D05B754C9F}"/>
    <cellStyle name="Input [yellow] 3 2 4" xfId="2674" xr:uid="{4D59774B-721F-4AE0-99BD-29705E29CD55}"/>
    <cellStyle name="Input [yellow] 3 2 4 2" xfId="2842" xr:uid="{F636D5B4-D271-4574-83F3-1C23A03F2C3B}"/>
    <cellStyle name="Input [yellow] 3 2 5" xfId="2684" xr:uid="{CA37177B-C96A-4B7D-841F-9181884F012F}"/>
    <cellStyle name="Input [yellow] 3 2 5 2" xfId="2852" xr:uid="{6C656FA4-C50F-41DF-A4C6-5E05AEB9E741}"/>
    <cellStyle name="Input [yellow] 3 2 6" xfId="2618" xr:uid="{1FAC3FEB-72BE-400D-BD93-5BC6D39C3BC3}"/>
    <cellStyle name="Input [yellow] 3 2 6 2" xfId="2786" xr:uid="{EA67EC02-149C-44F5-A433-6C87C72026BF}"/>
    <cellStyle name="Input [yellow] 3 3" xfId="2599" xr:uid="{EB848068-1A22-43C7-8C74-F45F8521278B}"/>
    <cellStyle name="Input [yellow] 3 3 2" xfId="2767" xr:uid="{DF50E765-145B-4C8C-8AA6-6E90F0087509}"/>
    <cellStyle name="Input [yellow] 3 4" xfId="2573" xr:uid="{A565CB4A-3B14-4308-8044-CE78D5F1A78F}"/>
    <cellStyle name="Input [yellow] 3 4 2" xfId="2741" xr:uid="{B0DF0312-DBDF-45D4-B77A-1F7CD2B926BB}"/>
    <cellStyle name="Input [yellow] 4" xfId="2389" xr:uid="{CA3E3C66-53E3-425B-830D-8F6F56284B06}"/>
    <cellStyle name="Input [yellow] 4 2" xfId="2494" xr:uid="{ED5108F6-714C-4F17-BA93-A83B609EE3B6}"/>
    <cellStyle name="Input [yellow] 4 2 2" xfId="2647" xr:uid="{2F052C11-4C80-4D25-937D-2E59701F149E}"/>
    <cellStyle name="Input [yellow] 4 2 2 2" xfId="2815" xr:uid="{D5D0B61F-5F80-4290-BE5E-2FBFAD78591E}"/>
    <cellStyle name="Input [yellow] 4 2 3" xfId="2657" xr:uid="{FD2D8C58-3400-4E43-AF78-1F5CFCFDA7C1}"/>
    <cellStyle name="Input [yellow] 4 2 3 2" xfId="2825" xr:uid="{340B7CD4-D679-4468-B5F8-E62C5659021C}"/>
    <cellStyle name="Input [yellow] 4 2 4" xfId="2695" xr:uid="{20EA37DB-66C6-4789-AB00-49BC0013A358}"/>
    <cellStyle name="Input [yellow] 4 2 4 2" xfId="2863" xr:uid="{F7D9E7BB-F2DE-4A48-A22B-F97E81226E93}"/>
    <cellStyle name="Input [yellow] 4 2 5" xfId="2620" xr:uid="{33DEAFA7-1138-4CB4-A528-CAFFF54FFE82}"/>
    <cellStyle name="Input [yellow] 4 2 5 2" xfId="2788" xr:uid="{42FFADBC-3DC8-4EA3-BCE5-68243F433523}"/>
    <cellStyle name="Input [yellow] 4 2 6" xfId="2539" xr:uid="{E5FDC5B3-851F-4DFF-A09B-02D8C4063802}"/>
    <cellStyle name="Input [yellow] 4 3" xfId="2583" xr:uid="{C0DFFA80-AB53-46B3-AF40-AB24186BAC0A}"/>
    <cellStyle name="Input [yellow] 4 3 2" xfId="2751" xr:uid="{7DC7D7E9-524B-4420-9A35-128FDBAB6C1D}"/>
    <cellStyle name="Input [yellow] 4 4" xfId="2631" xr:uid="{97770641-5D2D-41F2-8CD9-7C4D2D114192}"/>
    <cellStyle name="Input [yellow] 4 4 2" xfId="2799" xr:uid="{A87554BC-8043-48C4-BE54-B18000F073C8}"/>
    <cellStyle name="Input [yellow] 4 5" xfId="2576" xr:uid="{99C62D93-4FBA-473B-B425-36FB3738B750}"/>
    <cellStyle name="Input [yellow] 4 5 2" xfId="2744" xr:uid="{D2B6D61C-C26F-4E57-9516-810AFE3D5B03}"/>
    <cellStyle name="Input [yellow] 4 6" xfId="2616" xr:uid="{7AFEDC73-1E1A-4951-8B1C-73B70A851BC1}"/>
    <cellStyle name="Input [yellow] 4 6 2" xfId="2784" xr:uid="{5616D460-70BD-44EA-BE78-1C775EDF5511}"/>
    <cellStyle name="Input [yellow] 5" xfId="2608" xr:uid="{379157C2-1637-4630-968D-4036C816BFDB}"/>
    <cellStyle name="Input [yellow] 5 2" xfId="2776" xr:uid="{9FFB74CE-969B-4F14-A1D2-4CCFA1A6EA22}"/>
    <cellStyle name="Input [yellow] 6" xfId="2628" xr:uid="{308F9BBB-7676-45DB-A723-481B318F1ED1}"/>
    <cellStyle name="Input [yellow] 6 2" xfId="2796" xr:uid="{2ED39C2E-81A2-4EDA-9357-F1FD2C6D15BA}"/>
    <cellStyle name="Input 2" xfId="93" xr:uid="{A602E45F-942A-4BF3-AE66-74364C70DBE1}"/>
    <cellStyle name="Input 2 10" xfId="2548" xr:uid="{5889E880-A256-4A4D-A060-1A698378B19E}"/>
    <cellStyle name="Input 2 10 2" xfId="2716" xr:uid="{9A3A35CD-91DB-4575-BC54-89B1A42FE1F0}"/>
    <cellStyle name="Input 2 11" xfId="2514" xr:uid="{8E376799-40E0-4F58-B7AF-29F44555AB62}"/>
    <cellStyle name="Input 2 12" xfId="2528" xr:uid="{B246E082-D3C9-4433-B95F-2AAAE154EE65}"/>
    <cellStyle name="Input 2 2" xfId="2482" xr:uid="{A79A121D-B6BC-401A-B88D-4A4D939DC688}"/>
    <cellStyle name="Input 2 2 10" xfId="2525" xr:uid="{DF5BF75D-9CC2-46CF-B00C-695FB0A42D0B}"/>
    <cellStyle name="Input 2 2 2" xfId="2639" xr:uid="{3052CE8B-DD9C-477B-B393-B1DCBBDF699A}"/>
    <cellStyle name="Input 2 2 2 2" xfId="2807" xr:uid="{E9B9C3B9-DB73-472D-9491-3541A362AFD0}"/>
    <cellStyle name="Input 2 2 3" xfId="2598" xr:uid="{FF90C264-ADF8-474E-B23D-DC277B236CCF}"/>
    <cellStyle name="Input 2 2 3 2" xfId="2766" xr:uid="{158D9D25-6E23-41FD-8BB9-3DF1C11481BB}"/>
    <cellStyle name="Input 2 2 4" xfId="2667" xr:uid="{CD790401-A579-4C30-BB2F-46C4D0753952}"/>
    <cellStyle name="Input 2 2 4 2" xfId="2835" xr:uid="{B3D5872F-80B4-4D42-88A9-BAAE2A120F1B}"/>
    <cellStyle name="Input 2 2 5" xfId="2625" xr:uid="{557A4A44-C347-4460-B1AF-C87D367BAADB}"/>
    <cellStyle name="Input 2 2 5 2" xfId="2793" xr:uid="{A379904B-50C3-4008-A941-1E197919C74B}"/>
    <cellStyle name="Input 2 2 6" xfId="2636" xr:uid="{8620C9A1-E18C-4873-B762-742A9ADA8430}"/>
    <cellStyle name="Input 2 2 6 2" xfId="2804" xr:uid="{D14DA124-576D-437E-B2B1-4546725BD4CD}"/>
    <cellStyle name="Input 2 2 7" xfId="2586" xr:uid="{CE25F048-B738-4DF8-88B2-61A4794F545D}"/>
    <cellStyle name="Input 2 2 7 2" xfId="2754" xr:uid="{1B0A0CEF-BF6F-465F-AD94-0989B0C6C028}"/>
    <cellStyle name="Input 2 2 8" xfId="2560" xr:uid="{4D657817-35CD-46A5-81B2-2A09F84B190E}"/>
    <cellStyle name="Input 2 2 8 2" xfId="2728" xr:uid="{B652DC58-E3F6-4496-9AA9-F220C8153D7C}"/>
    <cellStyle name="Input 2 2 9" xfId="2531" xr:uid="{23F2BAF6-7831-4201-9E6C-8FBC94640F0A}"/>
    <cellStyle name="Input 2 3" xfId="2483" xr:uid="{B20D7605-10DF-4165-A8EA-CC1DBCD608C3}"/>
    <cellStyle name="Input 2 3 10" xfId="2524" xr:uid="{4B988C10-48E7-4932-B42B-A6D519F2F576}"/>
    <cellStyle name="Input 2 3 2" xfId="2640" xr:uid="{6B41F0B1-611A-491F-B50E-9D9A473FDC4D}"/>
    <cellStyle name="Input 2 3 2 2" xfId="2808" xr:uid="{613E610C-25B2-499D-BCEC-9D09E305E924}"/>
    <cellStyle name="Input 2 3 3" xfId="2547" xr:uid="{E6E6E3D4-08D7-4228-87F7-5C773D86FC36}"/>
    <cellStyle name="Input 2 3 3 2" xfId="2715" xr:uid="{1EA9BD0A-FD71-4902-BE55-C29CA9CA3EA6}"/>
    <cellStyle name="Input 2 3 4" xfId="2668" xr:uid="{D2BFB607-11E7-4114-8FDB-C0208C676B21}"/>
    <cellStyle name="Input 2 3 4 2" xfId="2836" xr:uid="{D8BDDC4E-5B36-416E-8683-6E27C806AF7F}"/>
    <cellStyle name="Input 2 3 5" xfId="2546" xr:uid="{9F940642-A51C-4010-83B6-ADAC32B96E22}"/>
    <cellStyle name="Input 2 3 5 2" xfId="2714" xr:uid="{01ABE791-8F43-4106-9566-0FEB7025AEA8}"/>
    <cellStyle name="Input 2 3 6" xfId="2676" xr:uid="{0290E3ED-2A3F-497B-BCE5-6F23B0F33E64}"/>
    <cellStyle name="Input 2 3 6 2" xfId="2844" xr:uid="{3FA9431F-DEEB-4ED8-8EDB-F4D20526763E}"/>
    <cellStyle name="Input 2 3 7" xfId="2637" xr:uid="{B4DE45F1-454F-42A9-B96F-A965E092E167}"/>
    <cellStyle name="Input 2 3 7 2" xfId="2805" xr:uid="{3669271D-A18D-4C07-A4BD-F588DC8C961A}"/>
    <cellStyle name="Input 2 3 8" xfId="2693" xr:uid="{E5C7B955-C9BF-4CA3-8780-BC9274024222}"/>
    <cellStyle name="Input 2 3 8 2" xfId="2861" xr:uid="{3F08A74E-991F-42B6-9791-3D44CAC0CB2A}"/>
    <cellStyle name="Input 2 3 9" xfId="2532" xr:uid="{3725E22D-C598-4804-9033-5FE7A48AD286}"/>
    <cellStyle name="Input 2 4" xfId="2552" xr:uid="{CA13F790-C2E5-4FA0-8EB2-3EE94A0FBCB9}"/>
    <cellStyle name="Input 2 4 2" xfId="2720" xr:uid="{E0D5DD9E-74F6-4E81-B971-A31D6A32B3DE}"/>
    <cellStyle name="Input 2 5" xfId="2629" xr:uid="{2ECBA0CA-C24D-4375-801D-E3555E338EA2}"/>
    <cellStyle name="Input 2 5 2" xfId="2797" xr:uid="{8EAAF71F-5451-4C27-8FE1-6ED8B6EAC21A}"/>
    <cellStyle name="Input 2 6" xfId="2603" xr:uid="{94BF814A-350A-41F8-A852-C7334547D845}"/>
    <cellStyle name="Input 2 6 2" xfId="2771" xr:uid="{0BD5869B-F10C-46CF-A331-DACAE873A609}"/>
    <cellStyle name="Input 2 7" xfId="2624" xr:uid="{0AC1BCFE-1BB8-4194-A792-6F4331CD477E}"/>
    <cellStyle name="Input 2 7 2" xfId="2792" xr:uid="{2E59D939-7D2B-4FEB-AAB0-AADCC5A3768C}"/>
    <cellStyle name="Input 2 8" xfId="2587" xr:uid="{CB81CF50-3FBA-4BEC-A008-339125AAC576}"/>
    <cellStyle name="Input 2 8 2" xfId="2755" xr:uid="{5D70EF25-C67E-496E-9157-944213FD5DAD}"/>
    <cellStyle name="Input 2 9" xfId="2652" xr:uid="{C432B303-0313-4D7A-9F78-24CFFBA0059F}"/>
    <cellStyle name="Input 2 9 2" xfId="2820" xr:uid="{A319B95B-363D-470E-96B0-D6DF52EBCF14}"/>
    <cellStyle name="Link Currency (0)" xfId="2338" xr:uid="{08ADCFD5-3844-4E79-80CC-A4D46AFDDD6A}"/>
    <cellStyle name="Link Currency (2)" xfId="2339" xr:uid="{C3476B71-1E96-4370-A003-8FAB0ACFCD21}"/>
    <cellStyle name="Link Units (0)" xfId="2340" xr:uid="{717EFA71-A5D5-44BA-9723-29A5E602F511}"/>
    <cellStyle name="Link Units (1)" xfId="2341" xr:uid="{EC313921-5E84-4D9B-A9B4-743A2EB6AA2F}"/>
    <cellStyle name="Link Units (2)" xfId="2342" xr:uid="{E772908A-BC98-4A1D-A1BA-7DD72A731F30}"/>
    <cellStyle name="Linked Cell" xfId="14" builtinId="24" customBuiltin="1"/>
    <cellStyle name="Linked Cell 2" xfId="94" xr:uid="{4C8BB96F-5636-46D2-99C7-29DC34F9385A}"/>
    <cellStyle name="Neutral 2" xfId="95" xr:uid="{5AA85234-BB65-42E2-A50F-E83F9D977696}"/>
    <cellStyle name="Neutral 3" xfId="39" xr:uid="{550367BC-CD0C-4DB8-A2E5-3A770794611A}"/>
    <cellStyle name="no dec" xfId="2062" xr:uid="{6046D5A1-2A01-45FD-9565-B15F23D8199D}"/>
    <cellStyle name="Normal" xfId="0" builtinId="0"/>
    <cellStyle name="Normal - Style1" xfId="2343" xr:uid="{19EFA18F-D382-4127-87BB-1CDD4C8D6A71}"/>
    <cellStyle name="Normal 10" xfId="2" xr:uid="{23F26040-D236-40BB-ABAB-9DC2ABC045A3}"/>
    <cellStyle name="Normal 10 2" xfId="2000" xr:uid="{A41D7F24-319E-4EAD-A61E-BA26178F2645}"/>
    <cellStyle name="Normal 10 3" xfId="2344" xr:uid="{6EE0378E-D7A6-4A56-B826-94371768F1F0}"/>
    <cellStyle name="Normal 10 4" xfId="2063" xr:uid="{64BF976F-6DBA-4C09-992A-70FC5A75D255}"/>
    <cellStyle name="Normal 11" xfId="2064" xr:uid="{9762DA09-E07B-42A1-8FAF-9AB5537B5E02}"/>
    <cellStyle name="Normal 11 2" xfId="2345" xr:uid="{73474874-BD4A-4154-B310-2F369619E7CF}"/>
    <cellStyle name="Normal 12" xfId="2003" xr:uid="{57916A9A-E6EC-4278-8C60-02D4E35D790C}"/>
    <cellStyle name="Normal 12 2" xfId="2346" xr:uid="{1CFD4ACF-AD9F-4583-9BFD-EDE05D98C21C}"/>
    <cellStyle name="Normal 13" xfId="2347" xr:uid="{B3708A89-3E5B-417C-B966-3B9C21757AB8}"/>
    <cellStyle name="Normal 13 2" xfId="2348" xr:uid="{146F73F6-9A5A-40D5-A8E3-ACB0EE928333}"/>
    <cellStyle name="Normal 14" xfId="2349" xr:uid="{60264063-4F4A-4457-8569-6AE0A2C9A2A2}"/>
    <cellStyle name="Normal 14 2" xfId="2350" xr:uid="{B6DD40A0-89C7-430E-8378-34CBEBCDBE52}"/>
    <cellStyle name="Normal 15" xfId="2351" xr:uid="{FBD1E67E-835B-4305-A61E-251238101434}"/>
    <cellStyle name="Normal 15 2" xfId="2352" xr:uid="{E85B9813-720C-42B4-8BF0-7C1FFAFC0F00}"/>
    <cellStyle name="Normal 15 3" xfId="2353" xr:uid="{C22073F8-E9C5-4911-B3FC-44E9473F7B18}"/>
    <cellStyle name="Normal 16" xfId="2354" xr:uid="{2127A653-F921-4E2A-85A3-C3F1B7980F57}"/>
    <cellStyle name="Normal 16 2" xfId="2355" xr:uid="{72E4AC75-BC14-4E98-8F22-002DAFD88EF6}"/>
    <cellStyle name="Normal 17" xfId="2356" xr:uid="{51AE8CDE-3319-49B1-9872-2927FEDC84A0}"/>
    <cellStyle name="Normal 18" xfId="2357" xr:uid="{2A1A0E01-BBA5-4A3A-A443-9F83F5760350}"/>
    <cellStyle name="Normal 18 2" xfId="2358" xr:uid="{006A71AC-CB98-4297-BC9F-15BF6BA12676}"/>
    <cellStyle name="Normal 19" xfId="2359" xr:uid="{AF8B02A8-5CDB-4AB7-9322-9F6FB07532AB}"/>
    <cellStyle name="Normal 19 2" xfId="2360" xr:uid="{FF68C41D-565D-4A8A-AA02-E12F995ECCED}"/>
    <cellStyle name="Normal 2" xfId="51" xr:uid="{84D51CE9-17C4-46B4-B833-EFAA5859D78A}"/>
    <cellStyle name="Normal 2 10" xfId="96" xr:uid="{E87E1940-BE3B-436E-8413-39DC93607E99}"/>
    <cellStyle name="Normal 2 10 10" xfId="97" xr:uid="{B7C18485-5C6D-4A61-8BD2-97BB4E950419}"/>
    <cellStyle name="Normal 2 10 11" xfId="98" xr:uid="{72063118-788E-44AB-BC2D-55A9CEB114EA}"/>
    <cellStyle name="Normal 2 10 12" xfId="99" xr:uid="{794F8B4B-9BF7-4692-9329-D63F9E494113}"/>
    <cellStyle name="Normal 2 10 13" xfId="100" xr:uid="{E161FE5C-9080-4F0F-9FD3-C4880164CFEB}"/>
    <cellStyle name="Normal 2 10 14" xfId="101" xr:uid="{8314D8F0-3C1D-40BA-B599-F853C2BA0225}"/>
    <cellStyle name="Normal 2 10 15" xfId="102" xr:uid="{BEEB1B69-5574-4806-8844-2324FEA7D60C}"/>
    <cellStyle name="Normal 2 10 16" xfId="103" xr:uid="{EF3FC176-DED3-4CEE-A812-EEB4BF8ECFB1}"/>
    <cellStyle name="Normal 2 10 17" xfId="104" xr:uid="{716C0EA2-66BC-49B4-9678-453D12B95D14}"/>
    <cellStyle name="Normal 2 10 18" xfId="105" xr:uid="{9CAE124A-4076-494F-8CD9-7942C9D0886F}"/>
    <cellStyle name="Normal 2 10 19" xfId="106" xr:uid="{54816D4D-5243-4BD1-AEC8-E64D1B5EA71B}"/>
    <cellStyle name="Normal 2 10 2" xfId="107" xr:uid="{E46C5D66-0C65-4BED-B053-22C5194D5350}"/>
    <cellStyle name="Normal 2 10 20" xfId="108" xr:uid="{75D0F06A-162E-41F5-9AC6-EF60C0EAA9A4}"/>
    <cellStyle name="Normal 2 10 21" xfId="109" xr:uid="{30E12CE8-B227-4AC5-A6C1-66A55C0D23C2}"/>
    <cellStyle name="Normal 2 10 22" xfId="110" xr:uid="{75572E48-80FE-4644-9C75-850CA8A661D7}"/>
    <cellStyle name="Normal 2 10 23" xfId="111" xr:uid="{5AFB15CC-CF4A-44C6-8770-6AC9E2918511}"/>
    <cellStyle name="Normal 2 10 3" xfId="112" xr:uid="{DA09D377-553E-4FC4-A8BD-EC7DDA8032B6}"/>
    <cellStyle name="Normal 2 10 4" xfId="113" xr:uid="{8AE41C32-008F-481E-9358-A9A510B1CB3E}"/>
    <cellStyle name="Normal 2 10 5" xfId="114" xr:uid="{846D3ED9-BE7A-4501-B736-7DE99869CF2E}"/>
    <cellStyle name="Normal 2 10 6" xfId="115" xr:uid="{1D9BDDD1-2FBE-4531-AD79-928D4F4DF7A0}"/>
    <cellStyle name="Normal 2 10 7" xfId="116" xr:uid="{6B67A70D-6261-44A5-ACCA-24A7BB4B1FB1}"/>
    <cellStyle name="Normal 2 10 8" xfId="117" xr:uid="{1A757FA4-D82D-4187-B595-65D09047152A}"/>
    <cellStyle name="Normal 2 10 9" xfId="118" xr:uid="{7D79EACC-7177-4429-B0E6-3A74CD7B0F27}"/>
    <cellStyle name="Normal 2 11" xfId="119" xr:uid="{88F8D68D-7EF4-4512-B12A-04CBC2A14A0B}"/>
    <cellStyle name="Normal 2 11 10" xfId="120" xr:uid="{7841A6E7-156A-4EFF-9E04-123DFEA35E05}"/>
    <cellStyle name="Normal 2 11 11" xfId="121" xr:uid="{CF890133-D1C3-4E90-8A3B-3C9AEB5E3E67}"/>
    <cellStyle name="Normal 2 11 12" xfId="122" xr:uid="{508D39CB-B434-44D3-9F2B-52C9F8810BA0}"/>
    <cellStyle name="Normal 2 11 13" xfId="123" xr:uid="{0FE929C5-599B-4DA7-8DD4-32F79FE714AC}"/>
    <cellStyle name="Normal 2 11 14" xfId="124" xr:uid="{903CFB8E-5B31-4BA8-8B88-A2A38E4C2C66}"/>
    <cellStyle name="Normal 2 11 15" xfId="125" xr:uid="{D0D6731C-A27E-493F-93D1-9E7A6379E4B5}"/>
    <cellStyle name="Normal 2 11 16" xfId="126" xr:uid="{8F831EAB-E4D5-450D-AEBC-DFBA77B091D2}"/>
    <cellStyle name="Normal 2 11 17" xfId="127" xr:uid="{9FF04AD7-EA86-41D9-92FE-379C6FF79BE3}"/>
    <cellStyle name="Normal 2 11 18" xfId="128" xr:uid="{CF0545FA-D944-4980-BFF3-3CF68AB955A9}"/>
    <cellStyle name="Normal 2 11 19" xfId="129" xr:uid="{6CB1880F-A818-472C-8E51-1C86FA78BEED}"/>
    <cellStyle name="Normal 2 11 2" xfId="130" xr:uid="{FDE636DB-7C68-4291-B8CA-D651E93C40A1}"/>
    <cellStyle name="Normal 2 11 20" xfId="131" xr:uid="{5758EFAC-A62A-4D68-B168-9696BE6F16DE}"/>
    <cellStyle name="Normal 2 11 21" xfId="132" xr:uid="{1C202232-77DB-4117-8DA6-70136E8A70A7}"/>
    <cellStyle name="Normal 2 11 22" xfId="133" xr:uid="{7417EFB1-162F-45AC-A229-972F9EC09955}"/>
    <cellStyle name="Normal 2 11 23" xfId="134" xr:uid="{5097DAB8-0B6A-49D9-B7B3-F0D4D71502A2}"/>
    <cellStyle name="Normal 2 11 3" xfId="135" xr:uid="{C421B1C8-4C4D-4E16-B6A6-B25507C90911}"/>
    <cellStyle name="Normal 2 11 4" xfId="136" xr:uid="{2E64DAE7-67F0-4B37-BA4E-955FEB7ACFD4}"/>
    <cellStyle name="Normal 2 11 5" xfId="137" xr:uid="{D119E2B0-B140-4918-9336-B65ED6701EFA}"/>
    <cellStyle name="Normal 2 11 6" xfId="138" xr:uid="{3E3DF406-8B70-4E8A-A96A-F8AC30B8AECA}"/>
    <cellStyle name="Normal 2 11 7" xfId="139" xr:uid="{A3B448DF-058C-44CF-9F51-8E0B123347FF}"/>
    <cellStyle name="Normal 2 11 8" xfId="140" xr:uid="{0B0EAD55-6C1B-40A7-9BE4-A1168A43EB12}"/>
    <cellStyle name="Normal 2 11 9" xfId="141" xr:uid="{152E452B-6056-4ADC-853A-30B27E822AE0}"/>
    <cellStyle name="Normal 2 12" xfId="142" xr:uid="{2A97D66D-0849-4552-A2C2-D414027128A6}"/>
    <cellStyle name="Normal 2 12 10" xfId="143" xr:uid="{8515A5FE-0784-4D8F-B23E-A6FD6D9E6472}"/>
    <cellStyle name="Normal 2 12 11" xfId="144" xr:uid="{4001E632-8A7B-4A5B-858F-7C499EFEBE30}"/>
    <cellStyle name="Normal 2 12 12" xfId="145" xr:uid="{3194052F-5295-4BF7-9C05-728CCA2AAE61}"/>
    <cellStyle name="Normal 2 12 13" xfId="146" xr:uid="{6BADA352-3A79-4F1D-8156-20FB275F9D97}"/>
    <cellStyle name="Normal 2 12 14" xfId="147" xr:uid="{83BB4CB5-28A0-4153-9ACB-D53B8FC04B09}"/>
    <cellStyle name="Normal 2 12 15" xfId="148" xr:uid="{542FAD6D-2FEB-4CB3-B487-E87B4C649BE2}"/>
    <cellStyle name="Normal 2 12 16" xfId="149" xr:uid="{E129E6F1-BCB6-437A-B260-50A4973FC259}"/>
    <cellStyle name="Normal 2 12 17" xfId="150" xr:uid="{41D830B9-8BAF-4EAE-9632-B9ED6FC071D1}"/>
    <cellStyle name="Normal 2 12 18" xfId="151" xr:uid="{828C5794-315F-4148-BB80-3F92BE32A0E0}"/>
    <cellStyle name="Normal 2 12 19" xfId="152" xr:uid="{28ED6A37-784E-448F-BAEE-5EB5F75B6301}"/>
    <cellStyle name="Normal 2 12 2" xfId="153" xr:uid="{B5DD3929-5D77-4EBD-9A61-9FEE87DBB09C}"/>
    <cellStyle name="Normal 2 12 20" xfId="154" xr:uid="{2145931E-53CC-4BC3-BF65-E30791AB0ADB}"/>
    <cellStyle name="Normal 2 12 21" xfId="155" xr:uid="{F782E3BC-8A86-4AE6-AD8B-23951F71F9A9}"/>
    <cellStyle name="Normal 2 12 22" xfId="156" xr:uid="{EDEAED14-10FA-4BA6-AA02-E8AAA2DCED4D}"/>
    <cellStyle name="Normal 2 12 23" xfId="157" xr:uid="{8E286D2E-6E4B-4717-9729-9BB1FF24B9DF}"/>
    <cellStyle name="Normal 2 12 3" xfId="158" xr:uid="{94A86DEA-933A-4D7B-8FC0-6C8F10124731}"/>
    <cellStyle name="Normal 2 12 4" xfId="159" xr:uid="{E8A82926-6036-40DB-BCFC-E59A7A83C6E8}"/>
    <cellStyle name="Normal 2 12 5" xfId="160" xr:uid="{2FBDA8EA-7C27-4BDC-A634-2DC427FEDE73}"/>
    <cellStyle name="Normal 2 12 6" xfId="161" xr:uid="{349F620F-002E-4F79-9D00-8822E1CD80A4}"/>
    <cellStyle name="Normal 2 12 7" xfId="162" xr:uid="{27F5F16D-257E-4BC9-B461-A28D0456685C}"/>
    <cellStyle name="Normal 2 12 8" xfId="163" xr:uid="{9B68B685-57D9-40CA-8C0D-30E1E1C41C68}"/>
    <cellStyle name="Normal 2 12 9" xfId="164" xr:uid="{3C588C7A-DE44-4B79-A609-310052B22D60}"/>
    <cellStyle name="Normal 2 13" xfId="165" xr:uid="{38A11DC4-67F0-49B3-A6C3-2EEB1F42AB5C}"/>
    <cellStyle name="Normal 2 13 10" xfId="166" xr:uid="{AB0C2F51-AA1E-42F0-9DBD-77C5D2CD49C9}"/>
    <cellStyle name="Normal 2 13 11" xfId="167" xr:uid="{F3E9D844-23E6-4892-B75C-3012F83FD44B}"/>
    <cellStyle name="Normal 2 13 12" xfId="168" xr:uid="{229773A9-5F0A-4874-A35F-9D354D80CB51}"/>
    <cellStyle name="Normal 2 13 13" xfId="169" xr:uid="{80E0D57D-4D5D-4DB7-BDD6-8199BC9BD6A7}"/>
    <cellStyle name="Normal 2 13 14" xfId="170" xr:uid="{05CB10F1-986D-4517-A23C-E9527DC87ACC}"/>
    <cellStyle name="Normal 2 13 15" xfId="171" xr:uid="{6511195A-1587-4E16-A659-229F3C03CD3F}"/>
    <cellStyle name="Normal 2 13 16" xfId="172" xr:uid="{8A67D39D-9150-4D21-9821-04FD9177590A}"/>
    <cellStyle name="Normal 2 13 17" xfId="173" xr:uid="{83484D3D-4EFD-4EA7-B466-A3FE1893CD23}"/>
    <cellStyle name="Normal 2 13 18" xfId="174" xr:uid="{EFB0D57E-873D-42A8-9299-B4C559444CE6}"/>
    <cellStyle name="Normal 2 13 19" xfId="175" xr:uid="{26DD8E1E-8A20-4D33-85BB-9CFDBC2CC251}"/>
    <cellStyle name="Normal 2 13 2" xfId="176" xr:uid="{56560317-79CB-4324-84D0-EC7750410F46}"/>
    <cellStyle name="Normal 2 13 20" xfId="177" xr:uid="{4274D2ED-0C89-45CF-8BC1-69A31BE09EE7}"/>
    <cellStyle name="Normal 2 13 21" xfId="178" xr:uid="{53CC05C8-66A2-4475-904E-6B679207CF5E}"/>
    <cellStyle name="Normal 2 13 22" xfId="179" xr:uid="{E7057FD1-9A6A-4683-A13D-97EF8FD255EF}"/>
    <cellStyle name="Normal 2 13 23" xfId="180" xr:uid="{A3CCE0A8-0865-423B-B3E4-C4CD0221FE8F}"/>
    <cellStyle name="Normal 2 13 3" xfId="181" xr:uid="{050E9033-C739-476E-B610-991DD46A3DFE}"/>
    <cellStyle name="Normal 2 13 4" xfId="182" xr:uid="{A93C7380-9909-4445-8F8E-0147A9A57AC2}"/>
    <cellStyle name="Normal 2 13 5" xfId="183" xr:uid="{12473A6E-0349-40C5-9884-7387E35544C5}"/>
    <cellStyle name="Normal 2 13 6" xfId="184" xr:uid="{E60082BB-65E1-46D5-8D35-E41E781D2C84}"/>
    <cellStyle name="Normal 2 13 7" xfId="185" xr:uid="{BA8C6492-DF9F-4236-88C0-7E1BDE9211B4}"/>
    <cellStyle name="Normal 2 13 8" xfId="186" xr:uid="{C32BB799-575E-4FAC-8C71-B94473A889C3}"/>
    <cellStyle name="Normal 2 13 9" xfId="187" xr:uid="{DEB385F0-F83D-4535-BC0D-81E15F20AE4E}"/>
    <cellStyle name="Normal 2 14" xfId="188" xr:uid="{60DA779C-13D2-42EF-9DCA-4B5E1B8CAFE4}"/>
    <cellStyle name="Normal 2 14 10" xfId="189" xr:uid="{292C561B-D848-4787-8125-622922CBCFF3}"/>
    <cellStyle name="Normal 2 14 11" xfId="190" xr:uid="{10468C29-8980-4B25-BBAF-A9BAD4F6ED6D}"/>
    <cellStyle name="Normal 2 14 12" xfId="191" xr:uid="{C0ECA7F2-4B0E-4DDE-A9B3-7EEFBB43225B}"/>
    <cellStyle name="Normal 2 14 13" xfId="192" xr:uid="{FFBD8030-A1E7-4C1D-930A-4CE016897586}"/>
    <cellStyle name="Normal 2 14 14" xfId="193" xr:uid="{EF8923D1-D5F5-44C9-AF89-C419C2EEE287}"/>
    <cellStyle name="Normal 2 14 15" xfId="194" xr:uid="{CEDBBF91-6124-49F7-AFF4-E409580DD336}"/>
    <cellStyle name="Normal 2 14 16" xfId="195" xr:uid="{97143061-2BA9-49E8-BE58-687ABCDAE959}"/>
    <cellStyle name="Normal 2 14 17" xfId="196" xr:uid="{C0D7BC05-2C0B-46F2-A63D-95451FAC7DD8}"/>
    <cellStyle name="Normal 2 14 18" xfId="197" xr:uid="{1666A880-3AFA-49E1-8AC7-23D7D9AB3156}"/>
    <cellStyle name="Normal 2 14 19" xfId="198" xr:uid="{BA308B66-C477-43BB-9986-746ECF7E48FB}"/>
    <cellStyle name="Normal 2 14 2" xfId="199" xr:uid="{6FCF5580-9E68-4298-AE4D-966C496A755C}"/>
    <cellStyle name="Normal 2 14 20" xfId="200" xr:uid="{FE5D12B0-0C3D-4A62-8B3D-9B12C58951E9}"/>
    <cellStyle name="Normal 2 14 21" xfId="201" xr:uid="{662A64DE-2DF5-4A77-A120-58471731772F}"/>
    <cellStyle name="Normal 2 14 22" xfId="202" xr:uid="{0ED10593-9E27-42F5-A846-CB63917D0546}"/>
    <cellStyle name="Normal 2 14 23" xfId="203" xr:uid="{F947D7A1-24B9-4C13-B414-A2C4B9C7ED9A}"/>
    <cellStyle name="Normal 2 14 3" xfId="204" xr:uid="{402EA13C-130C-4E6E-AFB1-1390DC9983D1}"/>
    <cellStyle name="Normal 2 14 4" xfId="205" xr:uid="{A028AF38-73D4-4203-A027-1462107EA3D5}"/>
    <cellStyle name="Normal 2 14 5" xfId="206" xr:uid="{F8189590-B506-447B-8314-69E59E9EA692}"/>
    <cellStyle name="Normal 2 14 6" xfId="207" xr:uid="{4D3BC272-8D09-46D0-8FEC-D4DABD54D246}"/>
    <cellStyle name="Normal 2 14 7" xfId="208" xr:uid="{B5DAA0A2-ECBA-4726-9522-DDE06E474FBF}"/>
    <cellStyle name="Normal 2 14 8" xfId="209" xr:uid="{9A2362C0-A68C-4EC9-85B9-C567C8069778}"/>
    <cellStyle name="Normal 2 14 9" xfId="210" xr:uid="{8D2BD354-CAC0-4B80-A258-704F6D5C5EA6}"/>
    <cellStyle name="Normal 2 15" xfId="211" xr:uid="{E65A6CD2-48BE-4CA0-B4F9-804C679F9F90}"/>
    <cellStyle name="Normal 2 15 10" xfId="212" xr:uid="{C1C46C60-A439-4288-9365-34EADF9AC35B}"/>
    <cellStyle name="Normal 2 15 11" xfId="213" xr:uid="{3190B310-D097-469A-B629-A3728DD752D5}"/>
    <cellStyle name="Normal 2 15 12" xfId="214" xr:uid="{D17095B3-7881-4835-B471-1A902ABCF583}"/>
    <cellStyle name="Normal 2 15 13" xfId="215" xr:uid="{885CEFFC-FC5A-4731-BBCB-AFC061EC9751}"/>
    <cellStyle name="Normal 2 15 14" xfId="216" xr:uid="{EA89AF98-EBFF-43F1-8D37-5247FCE07411}"/>
    <cellStyle name="Normal 2 15 15" xfId="217" xr:uid="{4C80976A-F14F-46EC-AD93-35A486D1402E}"/>
    <cellStyle name="Normal 2 15 16" xfId="218" xr:uid="{C4AD8667-7311-443B-B745-848B5077EEAC}"/>
    <cellStyle name="Normal 2 15 17" xfId="219" xr:uid="{681F32D3-6D55-4672-8C8E-171585E8552C}"/>
    <cellStyle name="Normal 2 15 18" xfId="220" xr:uid="{87A59861-AD06-4E86-A674-89220738EB8B}"/>
    <cellStyle name="Normal 2 15 19" xfId="221" xr:uid="{8FA1EF4D-24CF-4B6A-ACDE-AD317169846B}"/>
    <cellStyle name="Normal 2 15 2" xfId="222" xr:uid="{498BF093-D702-46D1-814E-755088C72707}"/>
    <cellStyle name="Normal 2 15 20" xfId="223" xr:uid="{F9D6AE67-B315-4CB6-8381-C7ECFA1EEB87}"/>
    <cellStyle name="Normal 2 15 21" xfId="224" xr:uid="{E07B0148-89F4-450B-8454-90EF7471A06D}"/>
    <cellStyle name="Normal 2 15 22" xfId="225" xr:uid="{CF8A76B5-696D-4842-B18C-00A01312E3EC}"/>
    <cellStyle name="Normal 2 15 23" xfId="226" xr:uid="{D470D90D-DA26-4143-8665-A27680FF5C2D}"/>
    <cellStyle name="Normal 2 15 3" xfId="227" xr:uid="{8C34079C-8651-4006-AF0B-B3A5D8DF690C}"/>
    <cellStyle name="Normal 2 15 4" xfId="228" xr:uid="{8DE7AF3B-E028-45D5-917B-0A642108D4D4}"/>
    <cellStyle name="Normal 2 15 5" xfId="229" xr:uid="{E10E69C0-D196-435A-9606-1C6DC622CBC9}"/>
    <cellStyle name="Normal 2 15 6" xfId="230" xr:uid="{2F64F0E9-8BD4-472C-86CA-DABBDD1C2817}"/>
    <cellStyle name="Normal 2 15 7" xfId="231" xr:uid="{D292E380-CA01-4F9B-AD51-A1AB858D1F57}"/>
    <cellStyle name="Normal 2 15 8" xfId="232" xr:uid="{6849C423-E602-43DB-A8AF-CC3A8AC45F94}"/>
    <cellStyle name="Normal 2 15 9" xfId="233" xr:uid="{83A71A83-DCEE-4C8A-A6F7-7CD9DCEC07CE}"/>
    <cellStyle name="Normal 2 16" xfId="234" xr:uid="{13BA41D9-DA2C-4463-A400-834A6E94C1B6}"/>
    <cellStyle name="Normal 2 16 10" xfId="235" xr:uid="{C5E959C7-525A-4D34-A996-70B1D929036B}"/>
    <cellStyle name="Normal 2 16 11" xfId="236" xr:uid="{D50B350F-2277-4E65-9CB3-027463F196B4}"/>
    <cellStyle name="Normal 2 16 12" xfId="237" xr:uid="{58902139-3F16-47CE-9103-7B9E476CAE96}"/>
    <cellStyle name="Normal 2 16 13" xfId="238" xr:uid="{342C457C-A6B9-4CE5-A25B-BE0239DC51D3}"/>
    <cellStyle name="Normal 2 16 14" xfId="239" xr:uid="{2C4A5AD7-1DED-40F2-89C5-E60C330AF19C}"/>
    <cellStyle name="Normal 2 16 15" xfId="240" xr:uid="{99567255-5620-4F1F-A501-063A0079D595}"/>
    <cellStyle name="Normal 2 16 16" xfId="241" xr:uid="{CC794284-DFF7-4A5D-B7DC-242FE045E35F}"/>
    <cellStyle name="Normal 2 16 17" xfId="242" xr:uid="{F5067633-686A-4079-80D7-44CECFD1CD6C}"/>
    <cellStyle name="Normal 2 16 18" xfId="243" xr:uid="{9376D48A-0199-4C10-BD3E-65EB6899C8DB}"/>
    <cellStyle name="Normal 2 16 19" xfId="244" xr:uid="{C814C4FE-0F32-4C3B-A1B1-B65EC8BED5B1}"/>
    <cellStyle name="Normal 2 16 2" xfId="245" xr:uid="{9B374EB6-3DCA-4179-A200-6F24EA7233E1}"/>
    <cellStyle name="Normal 2 16 20" xfId="246" xr:uid="{C2F9383D-03E5-4BF9-AFBC-8AE8415FE144}"/>
    <cellStyle name="Normal 2 16 21" xfId="247" xr:uid="{DA705BA1-5FF4-4EB1-803C-1D0CF635B24B}"/>
    <cellStyle name="Normal 2 16 22" xfId="248" xr:uid="{AB9204F8-857F-4968-883A-346E09CF25C6}"/>
    <cellStyle name="Normal 2 16 23" xfId="249" xr:uid="{DD735290-6F92-4037-9A5B-B3F712246612}"/>
    <cellStyle name="Normal 2 16 3" xfId="250" xr:uid="{09C7387F-47A6-467C-BA58-3E1E653A9DB0}"/>
    <cellStyle name="Normal 2 16 4" xfId="251" xr:uid="{ADCE6C2F-8AD1-43EB-A212-F653E159D3E5}"/>
    <cellStyle name="Normal 2 16 5" xfId="252" xr:uid="{E1DE37B5-41BC-4254-B958-A3D742953D24}"/>
    <cellStyle name="Normal 2 16 6" xfId="253" xr:uid="{6BD9C4EA-95E6-4997-BD89-B3084F489289}"/>
    <cellStyle name="Normal 2 16 7" xfId="254" xr:uid="{7E5D619C-FC65-4DA7-BBD8-E4152BB1A87C}"/>
    <cellStyle name="Normal 2 16 8" xfId="255" xr:uid="{A4E14C76-7585-4F35-9A8F-CF6B7B43117A}"/>
    <cellStyle name="Normal 2 16 9" xfId="256" xr:uid="{3A07A5A4-399D-43E2-88A2-F0C4A12C6BD2}"/>
    <cellStyle name="Normal 2 17" xfId="257" xr:uid="{E2818CB3-FE42-497C-8926-0C3775BEB115}"/>
    <cellStyle name="Normal 2 17 10" xfId="258" xr:uid="{6E2F9C99-6119-4E32-A194-D218C5EC08E6}"/>
    <cellStyle name="Normal 2 17 11" xfId="259" xr:uid="{613C1E56-D382-4AE1-8D8C-89A5BAE22ACE}"/>
    <cellStyle name="Normal 2 17 12" xfId="260" xr:uid="{DD8B19C1-99ED-4325-8B73-F2804C9611F1}"/>
    <cellStyle name="Normal 2 17 13" xfId="261" xr:uid="{78A99DCD-C104-4BFD-A1AB-3B6AC5B286AC}"/>
    <cellStyle name="Normal 2 17 14" xfId="262" xr:uid="{1D83BD7E-49ED-4E6A-A886-335BAFF6ED9A}"/>
    <cellStyle name="Normal 2 17 15" xfId="263" xr:uid="{A446556F-F1FD-473C-B41C-022730CD167B}"/>
    <cellStyle name="Normal 2 17 16" xfId="264" xr:uid="{85E3C854-FB22-46B2-823F-C306CB854295}"/>
    <cellStyle name="Normal 2 17 17" xfId="265" xr:uid="{EE32E756-CC72-4C90-B8EB-E1B07A5B959D}"/>
    <cellStyle name="Normal 2 17 18" xfId="266" xr:uid="{24DEBA78-F49B-4269-83B2-2AC621AE88DF}"/>
    <cellStyle name="Normal 2 17 19" xfId="267" xr:uid="{F5C1ACDE-A4A6-4822-A8CB-8E658E84EF5F}"/>
    <cellStyle name="Normal 2 17 2" xfId="268" xr:uid="{DF17D0ED-707F-41AE-9E6A-D08FECFE839E}"/>
    <cellStyle name="Normal 2 17 20" xfId="269" xr:uid="{68A4E253-0860-4366-9314-03887246AD8C}"/>
    <cellStyle name="Normal 2 17 21" xfId="270" xr:uid="{0D2E65CB-ED80-4D2A-ABE8-22095EE8BC15}"/>
    <cellStyle name="Normal 2 17 22" xfId="271" xr:uid="{9F6592AF-9DC6-4E0F-947B-83B29BD109DB}"/>
    <cellStyle name="Normal 2 17 23" xfId="272" xr:uid="{327A62DD-B25D-4297-9C19-D598444202EA}"/>
    <cellStyle name="Normal 2 17 3" xfId="273" xr:uid="{B13CD10E-85A0-4536-9955-566284522176}"/>
    <cellStyle name="Normal 2 17 4" xfId="274" xr:uid="{98BCE372-C74F-4B0A-B790-575828804144}"/>
    <cellStyle name="Normal 2 17 5" xfId="275" xr:uid="{6FB12C45-04B6-4855-8849-840B97D05B83}"/>
    <cellStyle name="Normal 2 17 6" xfId="276" xr:uid="{CE01650B-ABD4-4F70-A36E-A4FA6D0834F7}"/>
    <cellStyle name="Normal 2 17 7" xfId="277" xr:uid="{9C68CBE8-E233-4FBB-80FA-CFFC9C4CA61E}"/>
    <cellStyle name="Normal 2 17 8" xfId="278" xr:uid="{CB803BE0-CE5B-4278-8780-B4E0D24AC00B}"/>
    <cellStyle name="Normal 2 17 9" xfId="279" xr:uid="{FE0307AB-5A59-4103-8B4D-E5B534BBB9BB}"/>
    <cellStyle name="Normal 2 18" xfId="280" xr:uid="{429F7CD9-995B-4CF2-B869-A10605591FF7}"/>
    <cellStyle name="Normal 2 18 10" xfId="281" xr:uid="{E6059E3F-59BD-48DE-AF3B-FFA51B2B3DAB}"/>
    <cellStyle name="Normal 2 18 11" xfId="282" xr:uid="{6DC89F8F-90E2-41E4-B492-8A0FAB4809A3}"/>
    <cellStyle name="Normal 2 18 12" xfId="283" xr:uid="{B60CEB1D-098D-4F6E-906B-231BE61C42BE}"/>
    <cellStyle name="Normal 2 18 13" xfId="284" xr:uid="{D703A30B-B4A9-43E7-9885-15AC83A99878}"/>
    <cellStyle name="Normal 2 18 14" xfId="285" xr:uid="{C8B8D8FF-6339-498D-A0C3-07C7C1A8AEEE}"/>
    <cellStyle name="Normal 2 18 15" xfId="286" xr:uid="{7F6C2F35-2B13-437D-A6F5-1FA7D4AD6683}"/>
    <cellStyle name="Normal 2 18 16" xfId="287" xr:uid="{ED004A5F-E477-4479-B704-EF469C82F455}"/>
    <cellStyle name="Normal 2 18 17" xfId="288" xr:uid="{270AFBD5-D314-4D8D-89FC-4301EA1E1A09}"/>
    <cellStyle name="Normal 2 18 18" xfId="289" xr:uid="{C2145239-D6FD-4419-9895-8BFAF489C189}"/>
    <cellStyle name="Normal 2 18 19" xfId="290" xr:uid="{750CF0E7-622A-4A8D-B127-1FB6E1F32BB1}"/>
    <cellStyle name="Normal 2 18 2" xfId="291" xr:uid="{155568C7-6D8F-4E88-8E01-B5168D132016}"/>
    <cellStyle name="Normal 2 18 20" xfId="292" xr:uid="{B5BDB2F9-9779-452E-A6C3-5265316E6DC0}"/>
    <cellStyle name="Normal 2 18 21" xfId="293" xr:uid="{1A009F8B-7137-4759-B6A8-4EFC4009C783}"/>
    <cellStyle name="Normal 2 18 22" xfId="294" xr:uid="{BE3508DF-8F05-4597-856E-E340AC3D1A71}"/>
    <cellStyle name="Normal 2 18 23" xfId="295" xr:uid="{93A92273-165B-4419-8D81-20A60995D3D0}"/>
    <cellStyle name="Normal 2 18 3" xfId="296" xr:uid="{65227850-17EF-40CD-A0B7-4D09E9C4A4B0}"/>
    <cellStyle name="Normal 2 18 4" xfId="297" xr:uid="{4EF8138A-5E80-414C-A6F9-5BCA52BB4EA5}"/>
    <cellStyle name="Normal 2 18 5" xfId="298" xr:uid="{FBC5EFF2-B30E-4907-8481-8DD76B66551A}"/>
    <cellStyle name="Normal 2 18 6" xfId="299" xr:uid="{419BDF6A-3653-4451-8429-0861DCF87A26}"/>
    <cellStyle name="Normal 2 18 7" xfId="300" xr:uid="{3CDD1C69-EBCB-4DCF-886F-C85348C505F7}"/>
    <cellStyle name="Normal 2 18 8" xfId="301" xr:uid="{6FBC8269-2416-4108-87E5-0132F6FCF1C8}"/>
    <cellStyle name="Normal 2 18 9" xfId="302" xr:uid="{AF23DB12-603D-4221-904E-09C25FA48551}"/>
    <cellStyle name="Normal 2 19" xfId="303" xr:uid="{EA51696F-BEE2-4305-8EED-F78E6F8EEBCF}"/>
    <cellStyle name="Normal 2 19 10" xfId="304" xr:uid="{07EE88C5-7333-4321-AF46-1036E37273BA}"/>
    <cellStyle name="Normal 2 19 11" xfId="305" xr:uid="{B5B04195-5A69-40EB-92A4-A351509905B2}"/>
    <cellStyle name="Normal 2 19 12" xfId="306" xr:uid="{F483FF3F-CCCC-4399-AD6F-ECB6686040D5}"/>
    <cellStyle name="Normal 2 19 13" xfId="307" xr:uid="{CD37771B-E7B1-4657-960F-0B80476C62BE}"/>
    <cellStyle name="Normal 2 19 14" xfId="308" xr:uid="{F121D046-7AF2-43CC-B550-D8AFDBF5968B}"/>
    <cellStyle name="Normal 2 19 15" xfId="309" xr:uid="{1B4A3D11-EA5C-413A-9E78-8C3E89011308}"/>
    <cellStyle name="Normal 2 19 16" xfId="310" xr:uid="{97B18E92-14EA-4326-A7FE-B9E450E4CC44}"/>
    <cellStyle name="Normal 2 19 17" xfId="311" xr:uid="{298070C3-69DD-4B02-BA0D-537F9AF64070}"/>
    <cellStyle name="Normal 2 19 18" xfId="312" xr:uid="{D15283B9-27BB-415E-999F-539E8A714427}"/>
    <cellStyle name="Normal 2 19 19" xfId="313" xr:uid="{B9920771-C404-4355-8534-A1F5E5118575}"/>
    <cellStyle name="Normal 2 19 2" xfId="314" xr:uid="{D4B118FB-E44A-4C68-8115-85DFBCBE6A37}"/>
    <cellStyle name="Normal 2 19 20" xfId="315" xr:uid="{BB065AF2-72F7-4129-B1A5-EF7948452505}"/>
    <cellStyle name="Normal 2 19 21" xfId="316" xr:uid="{58347AB9-3B43-4B8A-92B6-BF407FE0AB7E}"/>
    <cellStyle name="Normal 2 19 22" xfId="317" xr:uid="{A51C6FB7-FAF6-4DE0-82C8-1C7696762C40}"/>
    <cellStyle name="Normal 2 19 23" xfId="318" xr:uid="{66B16102-1A6F-4FE2-99BA-4B0ADB58B52C}"/>
    <cellStyle name="Normal 2 19 3" xfId="319" xr:uid="{87EFF346-A085-4C8E-999A-F5B6F112D5D9}"/>
    <cellStyle name="Normal 2 19 4" xfId="320" xr:uid="{8E95F17A-1D44-4EA8-A9D8-4025BEE39802}"/>
    <cellStyle name="Normal 2 19 5" xfId="321" xr:uid="{8348A011-5101-4743-A726-0AA01E24632D}"/>
    <cellStyle name="Normal 2 19 6" xfId="322" xr:uid="{EB20F549-F294-4BD2-A98B-D6EB88FB427C}"/>
    <cellStyle name="Normal 2 19 7" xfId="323" xr:uid="{746E6862-FF0E-47EC-9C10-E2ECD8356236}"/>
    <cellStyle name="Normal 2 19 8" xfId="324" xr:uid="{5BD1C79E-F6F3-4DDC-A352-96ED9282CF8F}"/>
    <cellStyle name="Normal 2 19 9" xfId="325" xr:uid="{6B79471B-9BDD-4006-B698-69B31CEC8954}"/>
    <cellStyle name="Normal 2 2" xfId="52" xr:uid="{9379E6D2-ECF4-43F5-B3DD-3332291AE22D}"/>
    <cellStyle name="Normal 2 2 2" xfId="326" xr:uid="{FFD5A7B7-58DD-4B50-96FD-71FABCC9426B}"/>
    <cellStyle name="Normal 2 2 2 2" xfId="2361" xr:uid="{AF171091-D441-4D2D-AF31-4B3307278186}"/>
    <cellStyle name="Normal 2 2 2 3" xfId="2362" xr:uid="{A0A21B60-E665-4691-A39F-745619278A1E}"/>
    <cellStyle name="Normal 2 2 2 4" xfId="2363" xr:uid="{2D3D7AA4-F8FF-4E52-8795-2D599AE49F53}"/>
    <cellStyle name="Normal 2 2 3" xfId="2364" xr:uid="{1C29C163-EF63-4D48-9864-0043DFEB6059}"/>
    <cellStyle name="Normal 2 2 4" xfId="2365" xr:uid="{A4FC9F00-A703-4C25-94F7-CA7D6C45D1EA}"/>
    <cellStyle name="Normal 2 2 5" xfId="2066" xr:uid="{95F695B8-F291-46A0-9AF6-CD799779DDDC}"/>
    <cellStyle name="Normal 2 2_Summary" xfId="2366" xr:uid="{DA55606F-6EA6-4832-86DA-70D3E7CA0D8D}"/>
    <cellStyle name="Normal 2 20" xfId="327" xr:uid="{44C4E479-115B-48C8-89CE-B348EED7C62F}"/>
    <cellStyle name="Normal 2 20 10" xfId="328" xr:uid="{CFD0B127-2B7D-44F3-AE54-96587B8918D3}"/>
    <cellStyle name="Normal 2 20 11" xfId="329" xr:uid="{888F3AA2-C0F3-44BE-8274-75F4D8FDF3F6}"/>
    <cellStyle name="Normal 2 20 12" xfId="330" xr:uid="{91130C91-E112-4777-9D52-B08C39226184}"/>
    <cellStyle name="Normal 2 20 13" xfId="331" xr:uid="{29F5DBEE-D93E-4F3B-9634-00208CF82CFF}"/>
    <cellStyle name="Normal 2 20 14" xfId="332" xr:uid="{29382E7D-7772-4054-AE6C-91D00271B727}"/>
    <cellStyle name="Normal 2 20 15" xfId="333" xr:uid="{46B78A93-288F-4E6A-B9F2-D6FCBF4CD07A}"/>
    <cellStyle name="Normal 2 20 16" xfId="334" xr:uid="{B0B8E97C-2B49-4C90-85AF-D61B3319FD68}"/>
    <cellStyle name="Normal 2 20 17" xfId="335" xr:uid="{6BD4F02F-DB89-40D7-8A3E-B7791A1D1433}"/>
    <cellStyle name="Normal 2 20 18" xfId="336" xr:uid="{3B41A1E6-0C7F-4A3B-8BAC-A73B70482050}"/>
    <cellStyle name="Normal 2 20 19" xfId="337" xr:uid="{DEF871EA-19BF-4860-9346-F0C3FCF614B3}"/>
    <cellStyle name="Normal 2 20 2" xfId="338" xr:uid="{CA9F26ED-A5DB-4F0E-981A-6456A134C71F}"/>
    <cellStyle name="Normal 2 20 20" xfId="339" xr:uid="{4E42F9DF-D878-44D5-8B54-5AAE48A0643E}"/>
    <cellStyle name="Normal 2 20 21" xfId="340" xr:uid="{D33B2C25-7CB6-4E1F-8F10-3FE1AAFAA499}"/>
    <cellStyle name="Normal 2 20 22" xfId="341" xr:uid="{FE22B848-70EC-4508-AA45-75FEE26AE876}"/>
    <cellStyle name="Normal 2 20 23" xfId="342" xr:uid="{0A67C3AF-1343-49A1-82E8-4B7D407240F3}"/>
    <cellStyle name="Normal 2 20 3" xfId="343" xr:uid="{12A1D0D0-D958-4F92-A843-446F2B9C24AF}"/>
    <cellStyle name="Normal 2 20 4" xfId="344" xr:uid="{E3D48C2C-06E7-46DD-89FA-29A7E9723F72}"/>
    <cellStyle name="Normal 2 20 5" xfId="345" xr:uid="{B44E7A2C-93D9-4FA3-9914-E2CCB25FAB3C}"/>
    <cellStyle name="Normal 2 20 6" xfId="346" xr:uid="{14D3DD4C-86AC-4152-9E14-E11D6C57A233}"/>
    <cellStyle name="Normal 2 20 7" xfId="347" xr:uid="{8449C30A-7A69-4CA0-8B99-FF2E79E93D5A}"/>
    <cellStyle name="Normal 2 20 8" xfId="348" xr:uid="{594779CB-EB40-4556-9756-1D63E946C088}"/>
    <cellStyle name="Normal 2 20 9" xfId="349" xr:uid="{6C1D01E0-4677-4453-A82A-305DCEE0279C}"/>
    <cellStyle name="Normal 2 21" xfId="350" xr:uid="{8C0BF3E5-3927-424D-A00A-9C901EEBE00F}"/>
    <cellStyle name="Normal 2 21 10" xfId="351" xr:uid="{9E74E6A1-CA45-485D-B974-49A4C07BC8AC}"/>
    <cellStyle name="Normal 2 21 11" xfId="352" xr:uid="{5F323604-ECE7-42E3-9192-F66912BE063D}"/>
    <cellStyle name="Normal 2 21 12" xfId="353" xr:uid="{39BB3161-0005-4EA3-ADA3-BB983913EFCF}"/>
    <cellStyle name="Normal 2 21 13" xfId="354" xr:uid="{C9FB4DA2-B5DA-4527-9FD4-1AE393663A6F}"/>
    <cellStyle name="Normal 2 21 14" xfId="355" xr:uid="{A1195400-3AD5-42FC-AC58-2DF90FD3DF68}"/>
    <cellStyle name="Normal 2 21 15" xfId="356" xr:uid="{A4309B30-D119-4ABC-87DD-BA2AAC9BCA3B}"/>
    <cellStyle name="Normal 2 21 16" xfId="357" xr:uid="{3CB883E5-E341-4ED5-A77D-57E0C4DD471C}"/>
    <cellStyle name="Normal 2 21 17" xfId="358" xr:uid="{B4E1402C-C994-4373-A681-95A8B27A6D83}"/>
    <cellStyle name="Normal 2 21 18" xfId="359" xr:uid="{51E878E0-6584-4001-B449-90B9184BDA6F}"/>
    <cellStyle name="Normal 2 21 19" xfId="360" xr:uid="{271F1419-C61E-4BD0-A394-AB4F1CD02A4A}"/>
    <cellStyle name="Normal 2 21 2" xfId="361" xr:uid="{C7007FE6-A9AB-4075-9460-37CEA92BAC39}"/>
    <cellStyle name="Normal 2 21 20" xfId="362" xr:uid="{BA8F5C41-7DE7-4EB9-9269-7381A477E5D1}"/>
    <cellStyle name="Normal 2 21 21" xfId="363" xr:uid="{C7158515-5384-4EBB-A956-DCFCFEEF5AD3}"/>
    <cellStyle name="Normal 2 21 22" xfId="364" xr:uid="{347D742F-3960-4CBA-9A6E-8F1BD4769462}"/>
    <cellStyle name="Normal 2 21 23" xfId="365" xr:uid="{82C88253-E457-452C-AF27-927C9E752C5E}"/>
    <cellStyle name="Normal 2 21 3" xfId="366" xr:uid="{FBDBC341-8FC5-40C2-A36C-AFB13D34F5A2}"/>
    <cellStyle name="Normal 2 21 4" xfId="367" xr:uid="{11D21739-0E98-4A1E-86AB-ED714DD4913D}"/>
    <cellStyle name="Normal 2 21 5" xfId="368" xr:uid="{DF2FB13B-A990-4AA2-B64C-E55C723D56E4}"/>
    <cellStyle name="Normal 2 21 6" xfId="369" xr:uid="{9B1AE7A3-AAD6-4225-BA3C-259C2B7170BE}"/>
    <cellStyle name="Normal 2 21 7" xfId="370" xr:uid="{57FDBE45-F28D-472B-AC4B-C7783B817823}"/>
    <cellStyle name="Normal 2 21 8" xfId="371" xr:uid="{8BFAC210-E189-49D1-BF8E-E26EA7F60E31}"/>
    <cellStyle name="Normal 2 21 9" xfId="372" xr:uid="{4052DAC1-3C70-4D08-B091-2D944CC647E6}"/>
    <cellStyle name="Normal 2 22" xfId="373" xr:uid="{15518663-EBC0-4330-8E2A-635C6C69B865}"/>
    <cellStyle name="Normal 2 22 10" xfId="374" xr:uid="{5D1E5559-928F-4C48-B6DB-9F2B3E0A1581}"/>
    <cellStyle name="Normal 2 22 11" xfId="375" xr:uid="{183E3B39-E3A0-43C7-9C91-5A0A28AA761F}"/>
    <cellStyle name="Normal 2 22 12" xfId="376" xr:uid="{92607B33-7ABA-4895-81FE-0906B429D6D7}"/>
    <cellStyle name="Normal 2 22 13" xfId="377" xr:uid="{7A4B82D8-E0FC-4F11-99ED-B4980FB6A525}"/>
    <cellStyle name="Normal 2 22 14" xfId="378" xr:uid="{00C4F301-3663-4804-9215-6FBB99D7F7C9}"/>
    <cellStyle name="Normal 2 22 15" xfId="379" xr:uid="{8E41BCAE-4625-4D90-A777-1FE986B70019}"/>
    <cellStyle name="Normal 2 22 16" xfId="380" xr:uid="{D022282B-C474-4308-B5AB-66C86B7DAE0F}"/>
    <cellStyle name="Normal 2 22 17" xfId="381" xr:uid="{4CF30E9D-779B-4CF0-AA52-FEAA1A4C0361}"/>
    <cellStyle name="Normal 2 22 18" xfId="382" xr:uid="{710F399E-1857-4B40-8923-44736433114D}"/>
    <cellStyle name="Normal 2 22 19" xfId="383" xr:uid="{93477BF2-30D9-4EED-A9D4-E6FA3BBDE752}"/>
    <cellStyle name="Normal 2 22 2" xfId="384" xr:uid="{1AC3783C-F4C0-48FF-9663-C59F1FD4D6E0}"/>
    <cellStyle name="Normal 2 22 20" xfId="385" xr:uid="{7E21901E-1684-4893-A0A7-1823FB76AB70}"/>
    <cellStyle name="Normal 2 22 21" xfId="386" xr:uid="{9377F4BA-BA46-49C0-96F0-DFD9312CA22E}"/>
    <cellStyle name="Normal 2 22 22" xfId="387" xr:uid="{0D1AD3C5-7E6D-42A5-B27B-F514C9CFEBDF}"/>
    <cellStyle name="Normal 2 22 23" xfId="388" xr:uid="{87336064-008C-4C58-9626-2BA380AEB008}"/>
    <cellStyle name="Normal 2 22 3" xfId="389" xr:uid="{C6515B31-4CE0-4261-93A8-B48F0386D68E}"/>
    <cellStyle name="Normal 2 22 4" xfId="390" xr:uid="{7657411B-FDCB-45DC-B8F0-9D9744462149}"/>
    <cellStyle name="Normal 2 22 5" xfId="391" xr:uid="{2CA62AF1-7108-40E4-A6B3-CC4620FA5E3C}"/>
    <cellStyle name="Normal 2 22 6" xfId="392" xr:uid="{CACA4170-8968-485E-8C48-547C8E8281C2}"/>
    <cellStyle name="Normal 2 22 7" xfId="393" xr:uid="{9ADB8695-CE9E-4133-B557-3424B03CF6DA}"/>
    <cellStyle name="Normal 2 22 8" xfId="394" xr:uid="{E4E3226F-8D0A-40DB-8467-95AE29A19046}"/>
    <cellStyle name="Normal 2 22 9" xfId="395" xr:uid="{7C602FB9-41D0-4E75-83E0-180D6417B871}"/>
    <cellStyle name="Normal 2 23" xfId="396" xr:uid="{A58F3AAE-68AB-4288-ACE7-A370D3CE4A86}"/>
    <cellStyle name="Normal 2 23 10" xfId="397" xr:uid="{851F3A2A-CFCF-4190-9ECF-A592D6424232}"/>
    <cellStyle name="Normal 2 23 11" xfId="398" xr:uid="{760080D4-5694-4EFA-A711-652699ED3593}"/>
    <cellStyle name="Normal 2 23 12" xfId="399" xr:uid="{D4611274-783B-495C-B0DC-15C10D07B53C}"/>
    <cellStyle name="Normal 2 23 13" xfId="400" xr:uid="{2C33D0E2-E32E-450E-8B69-289160D433B6}"/>
    <cellStyle name="Normal 2 23 14" xfId="401" xr:uid="{FBE979E1-DAE8-467E-B769-0233733EB716}"/>
    <cellStyle name="Normal 2 23 15" xfId="402" xr:uid="{2D77A543-C57C-42E0-AD87-802AF0B0001E}"/>
    <cellStyle name="Normal 2 23 16" xfId="403" xr:uid="{99124DED-C1C1-4000-9F6E-93761A8C0D11}"/>
    <cellStyle name="Normal 2 23 17" xfId="404" xr:uid="{6215E434-BC28-401C-B1A4-28D71FF935B0}"/>
    <cellStyle name="Normal 2 23 18" xfId="405" xr:uid="{B7B769FB-74D7-44CD-A4CB-DD77B0BC5420}"/>
    <cellStyle name="Normal 2 23 19" xfId="406" xr:uid="{A2BAF3A5-AF60-4CA1-B9AC-148C1731DB51}"/>
    <cellStyle name="Normal 2 23 2" xfId="407" xr:uid="{681616C3-1D13-45A6-9A7A-A60776ADD6BE}"/>
    <cellStyle name="Normal 2 23 20" xfId="408" xr:uid="{ED33069E-CB6C-4AE0-B694-A04CA3F4EBF8}"/>
    <cellStyle name="Normal 2 23 21" xfId="409" xr:uid="{5835A4DE-20BA-4DF7-852A-9D72066DAF76}"/>
    <cellStyle name="Normal 2 23 22" xfId="410" xr:uid="{F8E5012C-1E97-470D-9FFF-6D3AFF2F18CC}"/>
    <cellStyle name="Normal 2 23 23" xfId="411" xr:uid="{D0AF310D-C2CB-4D43-ABE7-230E23429F9D}"/>
    <cellStyle name="Normal 2 23 3" xfId="412" xr:uid="{58A950D0-776C-44D8-B64B-2830AD308556}"/>
    <cellStyle name="Normal 2 23 4" xfId="413" xr:uid="{7405307F-6205-41CC-9D75-E88DAE327319}"/>
    <cellStyle name="Normal 2 23 5" xfId="414" xr:uid="{CCD6828E-26D6-4DF3-A25F-088D8E77C303}"/>
    <cellStyle name="Normal 2 23 6" xfId="415" xr:uid="{07851BFC-77A4-407A-9550-D285944D7651}"/>
    <cellStyle name="Normal 2 23 7" xfId="416" xr:uid="{4073025C-FA91-4479-9EFC-66A5E5F651C1}"/>
    <cellStyle name="Normal 2 23 8" xfId="417" xr:uid="{AFF2FAA6-2E9B-4990-B1E9-E6D647741314}"/>
    <cellStyle name="Normal 2 23 9" xfId="418" xr:uid="{4EAA0E4E-008C-4573-ADE5-97661C30DB7E}"/>
    <cellStyle name="Normal 2 24" xfId="419" xr:uid="{8520DF81-5942-473A-BDE9-E6E28C2B3D96}"/>
    <cellStyle name="Normal 2 24 10" xfId="420" xr:uid="{44540EF1-11CA-49AC-8951-C82AEA8272CE}"/>
    <cellStyle name="Normal 2 24 11" xfId="421" xr:uid="{9D386498-145A-4104-A1CB-706305C0A04D}"/>
    <cellStyle name="Normal 2 24 12" xfId="422" xr:uid="{D1A6E465-1F08-44A0-8837-6F2F282F4B2F}"/>
    <cellStyle name="Normal 2 24 13" xfId="423" xr:uid="{EDC7BAFE-85DC-4256-A85B-354DEB602CAC}"/>
    <cellStyle name="Normal 2 24 14" xfId="424" xr:uid="{2376E571-F377-4EBD-9F90-EC5A0684FD00}"/>
    <cellStyle name="Normal 2 24 15" xfId="425" xr:uid="{5E57A3CA-ADBD-48B5-B758-8484C92DE788}"/>
    <cellStyle name="Normal 2 24 16" xfId="426" xr:uid="{4ED834E7-28A3-4636-9EAE-8A42C5F5B456}"/>
    <cellStyle name="Normal 2 24 17" xfId="427" xr:uid="{7CCF8623-B7EE-47B7-9148-882267A161C1}"/>
    <cellStyle name="Normal 2 24 18" xfId="428" xr:uid="{C52A7502-E320-44BF-98DD-C0593C70B32C}"/>
    <cellStyle name="Normal 2 24 19" xfId="429" xr:uid="{0DC25E9B-2691-408E-A806-D0281F272E04}"/>
    <cellStyle name="Normal 2 24 2" xfId="430" xr:uid="{43714203-42C0-4C73-814F-D880B9B7BB98}"/>
    <cellStyle name="Normal 2 24 20" xfId="431" xr:uid="{AD3D6E02-EE9F-4F6C-AA3E-5DA61EECC60A}"/>
    <cellStyle name="Normal 2 24 21" xfId="432" xr:uid="{86AB8DD1-ECC1-4FCE-8626-5593F14FC0E4}"/>
    <cellStyle name="Normal 2 24 22" xfId="433" xr:uid="{2FEAE9D7-31E8-4A93-8A86-C80AD01CE828}"/>
    <cellStyle name="Normal 2 24 23" xfId="434" xr:uid="{5991902B-9819-46A3-B4EF-BCAEA6B55E34}"/>
    <cellStyle name="Normal 2 24 3" xfId="435" xr:uid="{1465DAFC-4889-4F76-9F8E-0AD9E23DD407}"/>
    <cellStyle name="Normal 2 24 4" xfId="436" xr:uid="{E7AFF37B-B783-4880-98C1-DEDF02A15319}"/>
    <cellStyle name="Normal 2 24 5" xfId="437" xr:uid="{8FBA6C99-D125-45C9-8002-339E5E8D12B4}"/>
    <cellStyle name="Normal 2 24 6" xfId="438" xr:uid="{7A71B8D9-4192-475B-8194-E6511474993B}"/>
    <cellStyle name="Normal 2 24 7" xfId="439" xr:uid="{483CA27E-9A99-4E96-A1E3-8215EC951A84}"/>
    <cellStyle name="Normal 2 24 8" xfId="440" xr:uid="{107ADC7F-16C8-47F5-A058-723E8A9E2ECD}"/>
    <cellStyle name="Normal 2 24 9" xfId="441" xr:uid="{8475B001-9921-41CB-A9C9-4F427A18C23D}"/>
    <cellStyle name="Normal 2 25" xfId="442" xr:uid="{41BF478F-F361-42AF-92BA-2049CEC5104F}"/>
    <cellStyle name="Normal 2 25 10" xfId="443" xr:uid="{3BFC9155-397B-4288-A273-0DFA38E6E586}"/>
    <cellStyle name="Normal 2 25 11" xfId="444" xr:uid="{E79B6A2E-85B4-4881-B643-47D28EC01A55}"/>
    <cellStyle name="Normal 2 25 12" xfId="445" xr:uid="{5E3171BA-E1F3-4C1D-AE4B-E916FAAE7A6D}"/>
    <cellStyle name="Normal 2 25 13" xfId="446" xr:uid="{AB64F8B6-7116-4350-BCF8-628991151785}"/>
    <cellStyle name="Normal 2 25 14" xfId="447" xr:uid="{DA23EA1C-AB12-47D0-BD6D-595D65FC79EF}"/>
    <cellStyle name="Normal 2 25 15" xfId="448" xr:uid="{64121EEB-6523-49DB-8366-0A4407575522}"/>
    <cellStyle name="Normal 2 25 16" xfId="449" xr:uid="{980EB2A0-2F8D-4756-9FCD-8BBB17D74EC1}"/>
    <cellStyle name="Normal 2 25 17" xfId="450" xr:uid="{BFA42DF6-0F9C-479A-A75A-652579F566E6}"/>
    <cellStyle name="Normal 2 25 18" xfId="451" xr:uid="{37D6B7F4-5247-4719-9D87-61ACE15DF1E1}"/>
    <cellStyle name="Normal 2 25 19" xfId="452" xr:uid="{47AC56E9-031E-46D4-BAFA-94C001C168A4}"/>
    <cellStyle name="Normal 2 25 2" xfId="453" xr:uid="{79A060FB-21A0-4AA3-8950-70732CCE4F40}"/>
    <cellStyle name="Normal 2 25 20" xfId="454" xr:uid="{14C70374-6BE2-4DED-871A-9D64C18EF6F0}"/>
    <cellStyle name="Normal 2 25 21" xfId="455" xr:uid="{1BC63AFE-5FD4-4377-AD85-D486EB1F491F}"/>
    <cellStyle name="Normal 2 25 22" xfId="456" xr:uid="{D4CF0343-70D5-4C25-9F8D-56D2B39F7CEF}"/>
    <cellStyle name="Normal 2 25 23" xfId="457" xr:uid="{54E2B9B1-5E62-4E29-A3D0-5FCCF4AB9693}"/>
    <cellStyle name="Normal 2 25 3" xfId="458" xr:uid="{B2D9D304-3656-4EF6-9A4B-C85B07189C55}"/>
    <cellStyle name="Normal 2 25 4" xfId="459" xr:uid="{5BBCBDDE-C3B4-4D4B-9343-F31009D1C090}"/>
    <cellStyle name="Normal 2 25 5" xfId="460" xr:uid="{FABC99A0-FC49-4E87-BE79-2557E3F72750}"/>
    <cellStyle name="Normal 2 25 6" xfId="461" xr:uid="{FCCFD3CD-A115-4857-B43E-2F47DAE0E96A}"/>
    <cellStyle name="Normal 2 25 7" xfId="462" xr:uid="{3B5D2C8B-84CE-490E-9831-BD27A3EB8CB8}"/>
    <cellStyle name="Normal 2 25 8" xfId="463" xr:uid="{2FEB431A-291A-4FBC-A211-F0475B73F9F8}"/>
    <cellStyle name="Normal 2 25 9" xfId="464" xr:uid="{C3FE5A1D-0628-4AC2-8349-D29190EE2E1A}"/>
    <cellStyle name="Normal 2 26" xfId="465" xr:uid="{66AB9515-C74F-4F85-9726-22D5731FF2CC}"/>
    <cellStyle name="Normal 2 26 10" xfId="466" xr:uid="{F1604B7E-1620-4F7A-9D89-55D6B0C80444}"/>
    <cellStyle name="Normal 2 26 11" xfId="467" xr:uid="{D3DCCCB1-24A7-4E2D-9684-5C9C2C7FB07A}"/>
    <cellStyle name="Normal 2 26 12" xfId="468" xr:uid="{8E7B5BF8-E3F6-45DD-886A-AF277DC3861E}"/>
    <cellStyle name="Normal 2 26 13" xfId="469" xr:uid="{B1478447-6AE5-4FAE-8CEE-E2D7030B636E}"/>
    <cellStyle name="Normal 2 26 14" xfId="470" xr:uid="{793DFB31-52F3-4BA2-BF15-57C73640F2A5}"/>
    <cellStyle name="Normal 2 26 15" xfId="471" xr:uid="{6972B1B2-E6F4-4CD5-A902-12EF850DAD12}"/>
    <cellStyle name="Normal 2 26 16" xfId="472" xr:uid="{DA0BF0DC-E20A-4E3B-92BD-55FFA4FA768A}"/>
    <cellStyle name="Normal 2 26 17" xfId="473" xr:uid="{2A80C9E1-F616-4D90-B7BD-76D94476108C}"/>
    <cellStyle name="Normal 2 26 18" xfId="474" xr:uid="{EB39C41C-FAD8-4803-8F7D-ABBE7EA0A668}"/>
    <cellStyle name="Normal 2 26 19" xfId="475" xr:uid="{126C11E5-98A4-4F68-A750-CEF9FA628409}"/>
    <cellStyle name="Normal 2 26 2" xfId="476" xr:uid="{55155465-6A0E-4EAD-9583-0D525F7A626D}"/>
    <cellStyle name="Normal 2 26 20" xfId="477" xr:uid="{59F1470F-08A2-4B52-B6DE-90235821A93F}"/>
    <cellStyle name="Normal 2 26 21" xfId="478" xr:uid="{AAD37321-B526-40D0-9525-9FA6496696F3}"/>
    <cellStyle name="Normal 2 26 22" xfId="479" xr:uid="{A1DBD6F0-8CC6-4E5A-9221-7E11E6382C15}"/>
    <cellStyle name="Normal 2 26 23" xfId="480" xr:uid="{F6388835-5228-4A34-9E78-356097B1E657}"/>
    <cellStyle name="Normal 2 26 3" xfId="481" xr:uid="{488BB989-8C12-47A8-BD86-44B54DF2C2CF}"/>
    <cellStyle name="Normal 2 26 4" xfId="482" xr:uid="{7F781D79-3FC4-4561-AF44-F98B2806BDF3}"/>
    <cellStyle name="Normal 2 26 5" xfId="483" xr:uid="{743B8D7F-8B6E-43D6-929A-5223977CB899}"/>
    <cellStyle name="Normal 2 26 6" xfId="484" xr:uid="{1D32BDF7-EF02-467F-B322-33A8C4C06B15}"/>
    <cellStyle name="Normal 2 26 7" xfId="485" xr:uid="{D5BD8D29-62D7-4BD3-93E5-DF71DD30D404}"/>
    <cellStyle name="Normal 2 26 8" xfId="486" xr:uid="{35A5D728-6C09-4E06-9083-8626DEF1CAEF}"/>
    <cellStyle name="Normal 2 26 9" xfId="487" xr:uid="{0B823F4B-B065-49EA-8780-4E8C4A2826D0}"/>
    <cellStyle name="Normal 2 27" xfId="488" xr:uid="{076258B4-D5ED-4F1D-AC26-A1F62B7EDB20}"/>
    <cellStyle name="Normal 2 27 10" xfId="489" xr:uid="{FEC71D76-CBD0-46A5-BC35-80C9B2F08C87}"/>
    <cellStyle name="Normal 2 27 11" xfId="490" xr:uid="{3469A23F-6823-417C-B353-F5EC201896E6}"/>
    <cellStyle name="Normal 2 27 12" xfId="491" xr:uid="{244F6A54-A52E-4B85-90F8-0EEC3586764A}"/>
    <cellStyle name="Normal 2 27 13" xfId="492" xr:uid="{5A733156-5841-40B0-9F9D-D656F0124484}"/>
    <cellStyle name="Normal 2 27 14" xfId="493" xr:uid="{F40ECB3C-232B-45AA-B463-B0B0EDE90F42}"/>
    <cellStyle name="Normal 2 27 15" xfId="494" xr:uid="{FAEC5DCE-4ED4-4446-AAC8-271DC5669F62}"/>
    <cellStyle name="Normal 2 27 16" xfId="495" xr:uid="{0364A3EA-EAAC-48E7-98F9-522C091C22BB}"/>
    <cellStyle name="Normal 2 27 17" xfId="496" xr:uid="{E7E4213A-56A8-405A-96A4-BD3F4C8D7909}"/>
    <cellStyle name="Normal 2 27 18" xfId="497" xr:uid="{2CA5973B-FA18-4342-BC28-BC3EFD2409D0}"/>
    <cellStyle name="Normal 2 27 19" xfId="498" xr:uid="{7E11EC68-5175-4182-A30C-D6E1B6B96B5D}"/>
    <cellStyle name="Normal 2 27 2" xfId="499" xr:uid="{42AD105D-E20E-40C4-9F6C-1320F9696BDE}"/>
    <cellStyle name="Normal 2 27 20" xfId="500" xr:uid="{8FEC4BCE-8B63-4451-BF67-F4011578A630}"/>
    <cellStyle name="Normal 2 27 21" xfId="501" xr:uid="{727C7DC6-71FC-4B47-ADCD-4833B9FEC215}"/>
    <cellStyle name="Normal 2 27 22" xfId="502" xr:uid="{141EF2F5-3545-4445-A1F2-33EA63D72F8C}"/>
    <cellStyle name="Normal 2 27 23" xfId="503" xr:uid="{CE354584-67B5-4829-ADE3-3BED16BCD3D2}"/>
    <cellStyle name="Normal 2 27 3" xfId="504" xr:uid="{AB03A3D3-91A6-4CF6-8130-8495BB0CC1EE}"/>
    <cellStyle name="Normal 2 27 4" xfId="505" xr:uid="{E4229225-2A6E-4980-8DE8-40795B5A3988}"/>
    <cellStyle name="Normal 2 27 5" xfId="506" xr:uid="{528F021B-192E-4669-A37F-3D01985D7D89}"/>
    <cellStyle name="Normal 2 27 6" xfId="507" xr:uid="{C068A00E-9BDB-479C-99A0-1093E7967426}"/>
    <cellStyle name="Normal 2 27 7" xfId="508" xr:uid="{BD4692DD-FF21-44A8-9D70-B515E46D7E9F}"/>
    <cellStyle name="Normal 2 27 8" xfId="509" xr:uid="{580E109D-5C8F-487A-B1D5-F7D02CD67107}"/>
    <cellStyle name="Normal 2 27 9" xfId="510" xr:uid="{8737022E-71FD-4E1F-8E31-D06C57B57A50}"/>
    <cellStyle name="Normal 2 28" xfId="511" xr:uid="{3992014C-C42A-4D18-9801-7B9E41AF6A58}"/>
    <cellStyle name="Normal 2 28 10" xfId="512" xr:uid="{67EC52BE-8130-4AC2-8123-A6F1078B9DD2}"/>
    <cellStyle name="Normal 2 28 11" xfId="513" xr:uid="{A7EFF3BF-A01F-465D-A1CB-F8362B2CC7AE}"/>
    <cellStyle name="Normal 2 28 12" xfId="514" xr:uid="{34A60198-AC52-4D00-84E9-D6A6CFA928FE}"/>
    <cellStyle name="Normal 2 28 13" xfId="515" xr:uid="{889A151F-0D5B-423E-8860-8ECF497B9216}"/>
    <cellStyle name="Normal 2 28 14" xfId="516" xr:uid="{1B3384AC-67F9-4517-81E8-E34EA710D995}"/>
    <cellStyle name="Normal 2 28 15" xfId="517" xr:uid="{95D03FE2-7F09-4FF4-BDBD-84FACF7385E2}"/>
    <cellStyle name="Normal 2 28 16" xfId="518" xr:uid="{EFCAA1B6-62BF-4802-985B-370B8047267E}"/>
    <cellStyle name="Normal 2 28 17" xfId="519" xr:uid="{58D0E322-D935-458D-B80D-39D01E92285E}"/>
    <cellStyle name="Normal 2 28 18" xfId="520" xr:uid="{C58F0520-A23E-4191-9E4E-0D372A7D7732}"/>
    <cellStyle name="Normal 2 28 19" xfId="521" xr:uid="{9F937FAD-F951-4E2F-B346-C587EEEF341B}"/>
    <cellStyle name="Normal 2 28 2" xfId="522" xr:uid="{923784E1-E88C-47D5-A70C-6F345A690E92}"/>
    <cellStyle name="Normal 2 28 20" xfId="523" xr:uid="{046B0349-3F56-4F4F-AC17-0D6A2288CBA3}"/>
    <cellStyle name="Normal 2 28 21" xfId="524" xr:uid="{19FC49FD-948E-421E-AFE3-9BA84B4A5FE7}"/>
    <cellStyle name="Normal 2 28 22" xfId="525" xr:uid="{7F402D48-3A54-476C-9016-29C4FCA9CA00}"/>
    <cellStyle name="Normal 2 28 23" xfId="526" xr:uid="{484421A7-43DF-44E4-9937-5C0780DD58A5}"/>
    <cellStyle name="Normal 2 28 3" xfId="527" xr:uid="{5705EBD1-1693-46F2-B6C6-77C50FE40D92}"/>
    <cellStyle name="Normal 2 28 4" xfId="528" xr:uid="{53350AAE-D6FB-477C-B5DF-882A40C9F66B}"/>
    <cellStyle name="Normal 2 28 5" xfId="529" xr:uid="{59E24F56-D48D-4931-A0E5-A0D0426EE146}"/>
    <cellStyle name="Normal 2 28 6" xfId="530" xr:uid="{DF257619-E072-4292-AF81-5B22B837B447}"/>
    <cellStyle name="Normal 2 28 7" xfId="531" xr:uid="{F0394E5A-AF7E-4781-A09E-B2BDBE3C9C5A}"/>
    <cellStyle name="Normal 2 28 8" xfId="532" xr:uid="{E1111B32-F24F-4200-B889-25C77D8CE41B}"/>
    <cellStyle name="Normal 2 28 9" xfId="533" xr:uid="{6BED8DA8-0B46-4C8F-B76C-A00248E67264}"/>
    <cellStyle name="Normal 2 29" xfId="534" xr:uid="{6332C191-B64B-43F4-897A-765BB7161AC7}"/>
    <cellStyle name="Normal 2 29 10" xfId="535" xr:uid="{9E773A75-F432-4AB7-84F2-CC5C2C462E11}"/>
    <cellStyle name="Normal 2 29 11" xfId="536" xr:uid="{92020AB2-5BA5-45C0-A0F3-1334F7B420DF}"/>
    <cellStyle name="Normal 2 29 12" xfId="537" xr:uid="{C488CC8C-255E-4C15-94FC-45CFC1D2954E}"/>
    <cellStyle name="Normal 2 29 13" xfId="538" xr:uid="{9660EEDF-4637-42ED-AFD6-56C07C4B1A40}"/>
    <cellStyle name="Normal 2 29 14" xfId="539" xr:uid="{469E0481-5C95-4348-8125-E81E88AE0F18}"/>
    <cellStyle name="Normal 2 29 15" xfId="540" xr:uid="{643E1CFD-2C83-4F8A-A0AD-DFB2D9373C1C}"/>
    <cellStyle name="Normal 2 29 16" xfId="541" xr:uid="{F91E9917-A7CD-4837-A81D-6477283428B8}"/>
    <cellStyle name="Normal 2 29 17" xfId="542" xr:uid="{3FF63BD7-E146-4D04-8D97-99A38C8C200E}"/>
    <cellStyle name="Normal 2 29 18" xfId="543" xr:uid="{6BABB3C1-872B-45D8-86B3-0D0D129E6521}"/>
    <cellStyle name="Normal 2 29 19" xfId="544" xr:uid="{D03C3E96-28BB-444A-A00B-A6A120D35A71}"/>
    <cellStyle name="Normal 2 29 2" xfId="545" xr:uid="{B854309A-0A1A-4B74-85E6-BC1C974BD13A}"/>
    <cellStyle name="Normal 2 29 20" xfId="546" xr:uid="{C3EA5C43-A659-41DA-99A4-7B7DDC104D79}"/>
    <cellStyle name="Normal 2 29 21" xfId="547" xr:uid="{853C6AC5-BF74-43DE-A6EE-4B1AECD1563D}"/>
    <cellStyle name="Normal 2 29 22" xfId="548" xr:uid="{36787579-330A-4F34-9B98-CC777B9F827F}"/>
    <cellStyle name="Normal 2 29 23" xfId="549" xr:uid="{BBCA5F8D-87AC-45E3-8FDD-080D58F4E92B}"/>
    <cellStyle name="Normal 2 29 3" xfId="550" xr:uid="{7BE49070-8692-4A63-B096-8F60D0C64AB5}"/>
    <cellStyle name="Normal 2 29 4" xfId="551" xr:uid="{01822517-24F4-4108-BD5B-61D7569B7A3C}"/>
    <cellStyle name="Normal 2 29 5" xfId="552" xr:uid="{41F3592A-84E6-472B-A768-9BAE8FD0954B}"/>
    <cellStyle name="Normal 2 29 6" xfId="553" xr:uid="{0EBBBDC5-8975-4653-8A80-3620B9DBE66B}"/>
    <cellStyle name="Normal 2 29 7" xfId="554" xr:uid="{CFAF9398-D88B-4A16-8175-4AD76DA0C7D7}"/>
    <cellStyle name="Normal 2 29 8" xfId="555" xr:uid="{40820564-81D5-4547-A8F0-6439071A8B9F}"/>
    <cellStyle name="Normal 2 29 9" xfId="556" xr:uid="{3AFBD1DF-7848-40B2-87F6-C67C65723003}"/>
    <cellStyle name="Normal 2 3" xfId="557" xr:uid="{ACDE80B2-9113-4871-A673-10007FE77C7D}"/>
    <cellStyle name="Normal 2 3 2" xfId="2367" xr:uid="{10DC267C-19A4-435F-904D-0CB7A221D41F}"/>
    <cellStyle name="Normal 2 3 2 2" xfId="2368" xr:uid="{814B02DE-90CD-431C-BD07-C218E2FAB420}"/>
    <cellStyle name="Normal 2 3 3" xfId="2369" xr:uid="{6A1CE91C-0FBB-4016-BBF8-3729019DB943}"/>
    <cellStyle name="Normal 2 3 4" xfId="2370" xr:uid="{635F3DE5-6F09-4F4A-8CBB-C7D88F4ACBE7}"/>
    <cellStyle name="Normal 2 3 5" xfId="2371" xr:uid="{5387FFE5-2532-438F-8CE4-05B743B2A400}"/>
    <cellStyle name="Normal 2 3_Summary" xfId="2372" xr:uid="{5A25C69A-7DE6-4964-B9EE-A7832BBFF595}"/>
    <cellStyle name="Normal 2 30" xfId="558" xr:uid="{639257D1-8D25-4BAE-9C76-F20E3D27FDCD}"/>
    <cellStyle name="Normal 2 30 10" xfId="559" xr:uid="{9324BCC9-6009-4957-B76C-BE73BF98DF29}"/>
    <cellStyle name="Normal 2 30 11" xfId="560" xr:uid="{8629352C-0942-4044-A3E4-25EC0E865677}"/>
    <cellStyle name="Normal 2 30 12" xfId="561" xr:uid="{BA49EDFA-94CC-4622-87B2-0223F6CB7575}"/>
    <cellStyle name="Normal 2 30 13" xfId="562" xr:uid="{EFF36C58-DB57-4FED-A36B-5FE78FE46308}"/>
    <cellStyle name="Normal 2 30 14" xfId="563" xr:uid="{547BE619-04C7-4A8C-BD6F-A21345EF7D11}"/>
    <cellStyle name="Normal 2 30 15" xfId="564" xr:uid="{625F3613-97D9-48FF-BDBB-6BBDA91EF450}"/>
    <cellStyle name="Normal 2 30 16" xfId="565" xr:uid="{4088F478-0CEE-468F-8D3E-36B0A9FF3496}"/>
    <cellStyle name="Normal 2 30 17" xfId="566" xr:uid="{E4DD44AF-EE5F-4D67-8D28-E361DF9915BE}"/>
    <cellStyle name="Normal 2 30 18" xfId="567" xr:uid="{2843AF06-1A51-4F3C-8D20-290845EBE20D}"/>
    <cellStyle name="Normal 2 30 19" xfId="568" xr:uid="{20AD87F9-639B-4EE9-AABA-2D12A347ACE0}"/>
    <cellStyle name="Normal 2 30 2" xfId="569" xr:uid="{D9698B23-07EF-49E3-8CB0-5B2CC1599823}"/>
    <cellStyle name="Normal 2 30 20" xfId="570" xr:uid="{8B36EAC1-2899-44A7-92D9-1CE5562027C5}"/>
    <cellStyle name="Normal 2 30 21" xfId="571" xr:uid="{C2872B39-80AD-4916-8911-EAD8ACC997E8}"/>
    <cellStyle name="Normal 2 30 22" xfId="572" xr:uid="{7770DEE1-B280-4CD6-82A1-B687F0A9A387}"/>
    <cellStyle name="Normal 2 30 23" xfId="573" xr:uid="{7CD0411E-88D6-4D0E-ABD3-44522706A1C2}"/>
    <cellStyle name="Normal 2 30 24" xfId="2374" xr:uid="{32BEA1D3-8306-43C2-BBAF-2B7D0E7ECE7A}"/>
    <cellStyle name="Normal 2 30 25" xfId="2375" xr:uid="{C9CA52B0-DB55-47BA-A7DE-C8C885A8F48B}"/>
    <cellStyle name="Normal 2 30 26" xfId="2373" xr:uid="{0EBBB32E-0950-454B-9143-700C6BDC1CEF}"/>
    <cellStyle name="Normal 2 30 3" xfId="574" xr:uid="{FAC5E9E5-94FB-4AC3-9055-86F1B4DF9895}"/>
    <cellStyle name="Normal 2 30 4" xfId="575" xr:uid="{0720AD8D-A0BD-46A1-B8BE-2E3669D3A557}"/>
    <cellStyle name="Normal 2 30 5" xfId="576" xr:uid="{A5EFF464-2A0A-4325-B2EF-A946947403AC}"/>
    <cellStyle name="Normal 2 30 6" xfId="577" xr:uid="{4924FAE3-31DF-4782-A625-6B9850B968F3}"/>
    <cellStyle name="Normal 2 30 7" xfId="578" xr:uid="{81814F3C-F21C-4F1E-B665-323689C0E51A}"/>
    <cellStyle name="Normal 2 30 8" xfId="579" xr:uid="{3C604412-C795-47F4-A4EE-15D13E24D76D}"/>
    <cellStyle name="Normal 2 30 9" xfId="580" xr:uid="{4B0F3A9C-FDFA-41FD-B3F8-E154BC0E0762}"/>
    <cellStyle name="Normal 2 31" xfId="581" xr:uid="{BDBB0E04-C203-4476-8052-3BFD89526703}"/>
    <cellStyle name="Normal 2 31 10" xfId="582" xr:uid="{0FFAA1F5-43B7-4AE8-BCC5-974383252123}"/>
    <cellStyle name="Normal 2 31 11" xfId="583" xr:uid="{2E8EE7E1-A50B-473D-A093-9562C296B1EA}"/>
    <cellStyle name="Normal 2 31 12" xfId="584" xr:uid="{4D366FD0-8A16-482F-9E8C-76B270AC1F89}"/>
    <cellStyle name="Normal 2 31 13" xfId="585" xr:uid="{037589EC-2DA5-4C50-B762-7AB277CE4E0B}"/>
    <cellStyle name="Normal 2 31 14" xfId="586" xr:uid="{267CFB0F-7E1A-4201-BBAA-C072A5E038D8}"/>
    <cellStyle name="Normal 2 31 15" xfId="587" xr:uid="{1177D58B-952A-405F-B011-7B93FB8BD750}"/>
    <cellStyle name="Normal 2 31 16" xfId="588" xr:uid="{AAB2D68B-422A-4B74-84DB-6A4792919232}"/>
    <cellStyle name="Normal 2 31 17" xfId="589" xr:uid="{1F0EB72B-D5F7-43EF-9EFE-DB9443107EDD}"/>
    <cellStyle name="Normal 2 31 18" xfId="590" xr:uid="{461A6170-3247-43DD-8F90-3E72E37812C1}"/>
    <cellStyle name="Normal 2 31 19" xfId="591" xr:uid="{71CA4F56-EE23-4589-9716-8F46D66996B5}"/>
    <cellStyle name="Normal 2 31 2" xfId="592" xr:uid="{F1B13960-817A-4919-94B7-44287D31C5ED}"/>
    <cellStyle name="Normal 2 31 20" xfId="593" xr:uid="{4663974B-8521-456C-82EA-B9273468E94C}"/>
    <cellStyle name="Normal 2 31 21" xfId="594" xr:uid="{3307FC4C-C4EA-4419-A8E3-A86E5A0F8909}"/>
    <cellStyle name="Normal 2 31 22" xfId="595" xr:uid="{DB44AAA0-29DD-4076-B9FE-C045A1459822}"/>
    <cellStyle name="Normal 2 31 23" xfId="596" xr:uid="{0BAEAC4F-11EE-441C-80E9-212664D8B4E0}"/>
    <cellStyle name="Normal 2 31 3" xfId="597" xr:uid="{F815025A-A7E0-4AF0-BEF8-9F6AE9D31BDF}"/>
    <cellStyle name="Normal 2 31 4" xfId="598" xr:uid="{58974CCB-9F6D-46D1-84E7-C4C328B348C3}"/>
    <cellStyle name="Normal 2 31 5" xfId="599" xr:uid="{C1AA3928-BEB5-4A16-B0A0-41F427100D7B}"/>
    <cellStyle name="Normal 2 31 6" xfId="600" xr:uid="{B3D7DD33-03DE-427B-BDA9-A0B8FD3C97C6}"/>
    <cellStyle name="Normal 2 31 7" xfId="601" xr:uid="{271D992E-BA3B-46D3-9627-AA0F2A14E8B3}"/>
    <cellStyle name="Normal 2 31 8" xfId="602" xr:uid="{825CFC7F-0954-4A49-80C2-484D05F6351D}"/>
    <cellStyle name="Normal 2 31 9" xfId="603" xr:uid="{2311E66B-4A36-4FFD-B97A-EDA071C7B1FE}"/>
    <cellStyle name="Normal 2 32" xfId="604" xr:uid="{B9CE738D-FDB3-41F6-8FC1-903CF5F382AA}"/>
    <cellStyle name="Normal 2 32 10" xfId="605" xr:uid="{29892E98-C930-4F2A-A1CA-B81B72466A34}"/>
    <cellStyle name="Normal 2 32 11" xfId="606" xr:uid="{A7D1E343-2A36-486D-8835-F69268787F89}"/>
    <cellStyle name="Normal 2 32 12" xfId="607" xr:uid="{91EB4A1C-BA55-4476-8BAA-34FF9D420EB9}"/>
    <cellStyle name="Normal 2 32 13" xfId="608" xr:uid="{81371A93-BD99-429F-9361-6857963A4CF2}"/>
    <cellStyle name="Normal 2 32 14" xfId="609" xr:uid="{EE479D7A-5D41-4BC0-BDDB-6666007DA3E0}"/>
    <cellStyle name="Normal 2 32 15" xfId="610" xr:uid="{84E3CE19-6969-4AAA-BB8E-AEA822A643B1}"/>
    <cellStyle name="Normal 2 32 16" xfId="611" xr:uid="{9DD4F759-278E-4A7C-83F5-6E1152C905E9}"/>
    <cellStyle name="Normal 2 32 17" xfId="612" xr:uid="{EA20891C-EFC9-4819-80C5-F516FF527C36}"/>
    <cellStyle name="Normal 2 32 18" xfId="613" xr:uid="{55D74C4B-1EEC-4437-8B6C-729B6C293C15}"/>
    <cellStyle name="Normal 2 32 19" xfId="614" xr:uid="{8B977B96-C6DB-4FF7-83EA-FAD05AEBC661}"/>
    <cellStyle name="Normal 2 32 2" xfId="615" xr:uid="{DF0DAB46-3369-4900-91EA-8B9FE19D3C27}"/>
    <cellStyle name="Normal 2 32 20" xfId="616" xr:uid="{083666F5-D984-4131-9ECF-4E385CA03E33}"/>
    <cellStyle name="Normal 2 32 21" xfId="617" xr:uid="{7839A719-6E1B-44FA-B0EA-344A060A8204}"/>
    <cellStyle name="Normal 2 32 22" xfId="618" xr:uid="{60352C06-7E2F-44AF-BB53-19FA2C1D60DF}"/>
    <cellStyle name="Normal 2 32 23" xfId="619" xr:uid="{DC66756C-A83E-4659-AF14-8933C06B8EB9}"/>
    <cellStyle name="Normal 2 32 3" xfId="620" xr:uid="{EEEB39B2-23A1-4C3D-B607-1676B9D97E59}"/>
    <cellStyle name="Normal 2 32 4" xfId="621" xr:uid="{BD1D9438-E8A0-43AA-974C-55DDEBA76264}"/>
    <cellStyle name="Normal 2 32 5" xfId="622" xr:uid="{1C7478C5-C2D5-4E54-B789-DF537AB85301}"/>
    <cellStyle name="Normal 2 32 6" xfId="623" xr:uid="{9D0B1107-13D3-407C-9B69-0BAB5170ED37}"/>
    <cellStyle name="Normal 2 32 7" xfId="624" xr:uid="{C5243F43-8EBD-42D8-9A71-FADB60083BFF}"/>
    <cellStyle name="Normal 2 32 8" xfId="625" xr:uid="{BE5BD591-68E6-43AF-82AF-92DECE70D2FF}"/>
    <cellStyle name="Normal 2 32 9" xfId="626" xr:uid="{FDBB03BA-7353-4EB8-BD9C-BB06EB4E55A3}"/>
    <cellStyle name="Normal 2 33" xfId="627" xr:uid="{119BBBFF-00F1-4777-B1E3-EAB01EA951F3}"/>
    <cellStyle name="Normal 2 33 10" xfId="628" xr:uid="{FFDD4E84-09E4-4E47-A400-C36F5F1194AF}"/>
    <cellStyle name="Normal 2 33 11" xfId="629" xr:uid="{201C9A09-E8D1-4F77-AF56-36FA7EFCD0EA}"/>
    <cellStyle name="Normal 2 33 12" xfId="630" xr:uid="{8A148A2F-35E1-44A9-B708-102E5B696136}"/>
    <cellStyle name="Normal 2 33 13" xfId="631" xr:uid="{DCC5EFEC-EB66-4CBC-8639-5BED3D2F3E1C}"/>
    <cellStyle name="Normal 2 33 14" xfId="632" xr:uid="{64DD4591-B6CC-4433-AEC0-469D87904862}"/>
    <cellStyle name="Normal 2 33 15" xfId="633" xr:uid="{0CD122A0-0946-4B59-89E8-0C035A82E81C}"/>
    <cellStyle name="Normal 2 33 16" xfId="634" xr:uid="{E7E99995-2BD3-4315-9F68-9CC8679544C7}"/>
    <cellStyle name="Normal 2 33 17" xfId="635" xr:uid="{FED1E199-0E06-457F-A5BF-F2E53BA3CF48}"/>
    <cellStyle name="Normal 2 33 18" xfId="636" xr:uid="{0480E9B7-2E77-4C21-9DDF-2496C9412735}"/>
    <cellStyle name="Normal 2 33 19" xfId="637" xr:uid="{DB233782-19ED-47FA-8A3B-951C6EBBEF81}"/>
    <cellStyle name="Normal 2 33 2" xfId="638" xr:uid="{55CEB496-D6AC-4400-9802-D8FBAB6EE9E7}"/>
    <cellStyle name="Normal 2 33 20" xfId="639" xr:uid="{16576623-A418-4659-96F8-5C06CBBE0F23}"/>
    <cellStyle name="Normal 2 33 21" xfId="640" xr:uid="{DB980000-05C3-4735-BD43-D69BC485CDC5}"/>
    <cellStyle name="Normal 2 33 22" xfId="641" xr:uid="{C932617F-A500-415D-8250-60B67185BDE3}"/>
    <cellStyle name="Normal 2 33 23" xfId="642" xr:uid="{B0986BC1-9534-4221-A62B-F35AE6B97D04}"/>
    <cellStyle name="Normal 2 33 3" xfId="643" xr:uid="{1E2A5DC8-4584-443A-8793-C6783BFB872C}"/>
    <cellStyle name="Normal 2 33 4" xfId="644" xr:uid="{23AF4A7F-F5DA-40C1-82BB-38FBC45AF0A0}"/>
    <cellStyle name="Normal 2 33 5" xfId="645" xr:uid="{7657AE42-73E0-44CF-A9E7-B577083158B6}"/>
    <cellStyle name="Normal 2 33 6" xfId="646" xr:uid="{2F51EBB6-BBD4-42A2-A66F-56430B13DAA2}"/>
    <cellStyle name="Normal 2 33 7" xfId="647" xr:uid="{B062C109-686A-4D0F-9E2B-67D71E9F7E1B}"/>
    <cellStyle name="Normal 2 33 8" xfId="648" xr:uid="{C8D1582E-33EC-45F4-B449-5BFA7AC247EC}"/>
    <cellStyle name="Normal 2 33 9" xfId="649" xr:uid="{DFB67DC8-AD45-4185-873B-328CF877295D}"/>
    <cellStyle name="Normal 2 34" xfId="650" xr:uid="{C5AE1842-50CF-430C-8223-0DD2A8439C4C}"/>
    <cellStyle name="Normal 2 34 10" xfId="651" xr:uid="{A66236AB-4C93-47A0-85E8-8EE255C6D2DE}"/>
    <cellStyle name="Normal 2 34 11" xfId="652" xr:uid="{A7A5561A-04D6-4143-82C7-D38C317612FF}"/>
    <cellStyle name="Normal 2 34 12" xfId="653" xr:uid="{7DA71FB2-907B-4BD9-8AC0-CA414A1B139C}"/>
    <cellStyle name="Normal 2 34 13" xfId="654" xr:uid="{BFAE01FE-2C32-448C-A14C-FB0E9A13F729}"/>
    <cellStyle name="Normal 2 34 14" xfId="655" xr:uid="{787DBE8D-BF87-4D31-BE84-EA29EFEB3B4F}"/>
    <cellStyle name="Normal 2 34 15" xfId="656" xr:uid="{1F65A7F1-81C4-4D5B-8C29-DD53563F5B14}"/>
    <cellStyle name="Normal 2 34 16" xfId="657" xr:uid="{E3D62C24-E17C-49FA-826A-48A6392A5B0C}"/>
    <cellStyle name="Normal 2 34 17" xfId="658" xr:uid="{88506226-5B4C-4E56-92B1-F15D0CAF100F}"/>
    <cellStyle name="Normal 2 34 18" xfId="659" xr:uid="{7294E806-D21F-4A4A-A05C-B5D541000F8B}"/>
    <cellStyle name="Normal 2 34 19" xfId="660" xr:uid="{182E5EB1-29AA-4B76-975E-24455E318D5F}"/>
    <cellStyle name="Normal 2 34 2" xfId="661" xr:uid="{577D98D1-9CBE-4A0C-85C0-7D89E92D152C}"/>
    <cellStyle name="Normal 2 34 20" xfId="662" xr:uid="{1AFC3176-8A69-436E-BABF-2F56D7CFB2D8}"/>
    <cellStyle name="Normal 2 34 21" xfId="663" xr:uid="{927275B9-2FED-46CC-A2AC-2A7BDFE7588E}"/>
    <cellStyle name="Normal 2 34 22" xfId="664" xr:uid="{A0C575C2-B39B-42DB-B80A-9B0E5D4300DA}"/>
    <cellStyle name="Normal 2 34 23" xfId="665" xr:uid="{06390F13-5997-4BBC-881A-356241F0D70D}"/>
    <cellStyle name="Normal 2 34 3" xfId="666" xr:uid="{6A5A8BDB-3E47-4D09-85D9-CA956EE35ACC}"/>
    <cellStyle name="Normal 2 34 4" xfId="667" xr:uid="{AB2ECCC8-9B5A-4007-A5BE-5AA383AA93E0}"/>
    <cellStyle name="Normal 2 34 5" xfId="668" xr:uid="{C5718647-27B3-4AB7-92A2-CD14821D5C4C}"/>
    <cellStyle name="Normal 2 34 6" xfId="669" xr:uid="{A5E81B27-A755-4E4F-BA80-B11AB63EF084}"/>
    <cellStyle name="Normal 2 34 7" xfId="670" xr:uid="{832D94A6-B709-4DE4-A42A-9E94B01D710F}"/>
    <cellStyle name="Normal 2 34 8" xfId="671" xr:uid="{EA8019E9-E6FE-49CE-AFE7-33AC98EE9B44}"/>
    <cellStyle name="Normal 2 34 9" xfId="672" xr:uid="{3F967C60-19FD-4826-90BA-6F4A2226211A}"/>
    <cellStyle name="Normal 2 35" xfId="673" xr:uid="{A7793E21-AB6A-4DDD-A314-04DE25BD7DE8}"/>
    <cellStyle name="Normal 2 35 10" xfId="674" xr:uid="{86783BC0-5C48-4DB7-BDBC-356D34E4C276}"/>
    <cellStyle name="Normal 2 35 11" xfId="675" xr:uid="{3E519909-2062-4613-A319-BD933B976BA3}"/>
    <cellStyle name="Normal 2 35 12" xfId="676" xr:uid="{AB86ABCD-758D-4608-B830-1412F3CEA92C}"/>
    <cellStyle name="Normal 2 35 13" xfId="677" xr:uid="{69B7EB88-0098-4AB4-B9F9-052CB586B1B5}"/>
    <cellStyle name="Normal 2 35 14" xfId="678" xr:uid="{E7B53652-770F-4E11-992C-2DD2645F7844}"/>
    <cellStyle name="Normal 2 35 15" xfId="679" xr:uid="{738C938F-BABA-433C-9D51-270D2AC54F28}"/>
    <cellStyle name="Normal 2 35 16" xfId="680" xr:uid="{79612638-1367-4D42-B542-C3A697650997}"/>
    <cellStyle name="Normal 2 35 17" xfId="681" xr:uid="{6CD211A9-FF79-4832-ADC5-86A8B3BC6040}"/>
    <cellStyle name="Normal 2 35 18" xfId="682" xr:uid="{94070585-BDC6-44BE-AA90-3FCB34C72218}"/>
    <cellStyle name="Normal 2 35 19" xfId="683" xr:uid="{928A5DAA-1963-462C-93B4-66E00E7A3ACD}"/>
    <cellStyle name="Normal 2 35 2" xfId="684" xr:uid="{AA9BCDCC-68E1-4779-8109-FB44D0EE2E37}"/>
    <cellStyle name="Normal 2 35 20" xfId="685" xr:uid="{D784B3D6-9176-45EF-9340-92F46E76703A}"/>
    <cellStyle name="Normal 2 35 21" xfId="686" xr:uid="{BC6E3804-2EEE-467C-997B-76EBFC2BD8BF}"/>
    <cellStyle name="Normal 2 35 22" xfId="687" xr:uid="{CEE51A28-9472-432B-8EAC-8CD5EB0926A4}"/>
    <cellStyle name="Normal 2 35 23" xfId="688" xr:uid="{A57F1DBD-A7D5-46BE-8026-DAD950DE8E4E}"/>
    <cellStyle name="Normal 2 35 3" xfId="689" xr:uid="{7960F4AE-9C65-4A5B-9031-69066866B93D}"/>
    <cellStyle name="Normal 2 35 4" xfId="690" xr:uid="{92906213-131F-4778-8A7F-6DB9C25BC79F}"/>
    <cellStyle name="Normal 2 35 5" xfId="691" xr:uid="{81CE15D5-6B76-4BA0-8D25-EA4F65895468}"/>
    <cellStyle name="Normal 2 35 6" xfId="692" xr:uid="{6618E3B7-452F-4D47-AAF7-63E20C2F87E2}"/>
    <cellStyle name="Normal 2 35 7" xfId="693" xr:uid="{AB4903F4-0D31-4666-A5A9-AF108BF5D9F4}"/>
    <cellStyle name="Normal 2 35 8" xfId="694" xr:uid="{8DF53474-4287-42F5-A48A-A79756774E10}"/>
    <cellStyle name="Normal 2 35 9" xfId="695" xr:uid="{59CAA665-B820-41B3-9259-9EE756702C69}"/>
    <cellStyle name="Normal 2 36" xfId="696" xr:uid="{BB53E9E6-AB31-431F-A2A1-ABCFBC2B4E14}"/>
    <cellStyle name="Normal 2 36 10" xfId="697" xr:uid="{0035D55D-BA69-4C66-A9C8-9B75CE4FEF83}"/>
    <cellStyle name="Normal 2 36 11" xfId="698" xr:uid="{45DCACE6-422B-4D5D-B121-8F9EFC4B3BB0}"/>
    <cellStyle name="Normal 2 36 12" xfId="699" xr:uid="{6779D343-7A8B-4747-A978-D35880A7C4BB}"/>
    <cellStyle name="Normal 2 36 13" xfId="700" xr:uid="{8738C8A5-7733-49E6-AA74-E0F401AF6B23}"/>
    <cellStyle name="Normal 2 36 14" xfId="701" xr:uid="{59FFF668-60F8-40FC-BC8B-981518580BB5}"/>
    <cellStyle name="Normal 2 36 15" xfId="702" xr:uid="{4D864D23-7FDE-4A43-BC81-091B34DFE3AD}"/>
    <cellStyle name="Normal 2 36 16" xfId="703" xr:uid="{0381E3E5-5EA4-49FF-A7BB-9A33F44947C8}"/>
    <cellStyle name="Normal 2 36 17" xfId="704" xr:uid="{F2E117A8-4E4C-47D2-BBCE-739CFF52957C}"/>
    <cellStyle name="Normal 2 36 18" xfId="705" xr:uid="{A9197A23-CD6D-4C58-BB27-73C889B3B8AA}"/>
    <cellStyle name="Normal 2 36 19" xfId="706" xr:uid="{C142FA2F-418F-4528-995F-7C8C35C95728}"/>
    <cellStyle name="Normal 2 36 2" xfId="707" xr:uid="{6BC8A665-0A7A-4BFE-BE0C-D79ED288B289}"/>
    <cellStyle name="Normal 2 36 20" xfId="708" xr:uid="{A0E81983-6AEF-48A8-A1CC-E29D5524D90E}"/>
    <cellStyle name="Normal 2 36 21" xfId="709" xr:uid="{100DA7C9-AB32-4EBA-BD1B-9F9BA039FEE7}"/>
    <cellStyle name="Normal 2 36 22" xfId="710" xr:uid="{3BD871CA-B505-43D9-9278-3877979A7772}"/>
    <cellStyle name="Normal 2 36 23" xfId="711" xr:uid="{E3E8F887-BE43-41D9-8A12-0F0E3C1E40B1}"/>
    <cellStyle name="Normal 2 36 3" xfId="712" xr:uid="{C52CEC7D-88AE-4BFC-B92A-2D275EA2B81F}"/>
    <cellStyle name="Normal 2 36 4" xfId="713" xr:uid="{19CDE2E2-DE97-4C0F-984F-EEF79C046A70}"/>
    <cellStyle name="Normal 2 36 5" xfId="714" xr:uid="{AFFAB33B-1C62-4CAF-8B27-A175902C6BC6}"/>
    <cellStyle name="Normal 2 36 6" xfId="715" xr:uid="{4863E552-AC5C-40E1-831B-30A9137820E8}"/>
    <cellStyle name="Normal 2 36 7" xfId="716" xr:uid="{A2804C6E-5370-43EC-98F4-307FA3799DBC}"/>
    <cellStyle name="Normal 2 36 8" xfId="717" xr:uid="{446ADCE2-8D26-4380-A3EC-7F0A1C7DEF94}"/>
    <cellStyle name="Normal 2 36 9" xfId="718" xr:uid="{D10AA2CB-ED8B-457A-B05D-AC08D8974D2F}"/>
    <cellStyle name="Normal 2 37" xfId="719" xr:uid="{55B0BA07-56F6-4DB1-839B-B462CE657890}"/>
    <cellStyle name="Normal 2 37 10" xfId="720" xr:uid="{7A74726D-0C4E-4AF0-9FDD-5F778760B4E9}"/>
    <cellStyle name="Normal 2 37 11" xfId="721" xr:uid="{95BCCF8A-793F-49E9-9119-6141F2AD4E0A}"/>
    <cellStyle name="Normal 2 37 12" xfId="722" xr:uid="{878D8280-49E6-48AB-955B-406465660912}"/>
    <cellStyle name="Normal 2 37 13" xfId="723" xr:uid="{2843889C-946F-4DE9-9DF8-83AC5A52FD7E}"/>
    <cellStyle name="Normal 2 37 14" xfId="724" xr:uid="{97162B11-923B-47CE-8C4B-9A2379CCC315}"/>
    <cellStyle name="Normal 2 37 15" xfId="725" xr:uid="{AB5351F5-60AE-47D2-8EBB-09FE3F3443B4}"/>
    <cellStyle name="Normal 2 37 16" xfId="726" xr:uid="{65C83BC0-C573-43D1-8E82-99338CFDA1DF}"/>
    <cellStyle name="Normal 2 37 17" xfId="727" xr:uid="{4E68D97D-03F0-4267-A434-40FA4D512F0F}"/>
    <cellStyle name="Normal 2 37 18" xfId="728" xr:uid="{6F170AED-35EF-4052-A129-B25F5691142D}"/>
    <cellStyle name="Normal 2 37 19" xfId="729" xr:uid="{62FC20A2-3F3C-42F6-AD8C-3C425EBF20DF}"/>
    <cellStyle name="Normal 2 37 2" xfId="730" xr:uid="{117488AD-C36A-47F4-A55D-74050B0A6967}"/>
    <cellStyle name="Normal 2 37 20" xfId="731" xr:uid="{07418BFE-D4FE-4CC7-8017-A62178FBE8BC}"/>
    <cellStyle name="Normal 2 37 21" xfId="732" xr:uid="{576E72AD-9C95-4871-8566-9D91ED969068}"/>
    <cellStyle name="Normal 2 37 22" xfId="733" xr:uid="{664876BE-A9DD-444B-BCA1-6AE77802A496}"/>
    <cellStyle name="Normal 2 37 23" xfId="734" xr:uid="{F42E63C7-E2BC-4BC1-8FDD-98BF8F4AF0A2}"/>
    <cellStyle name="Normal 2 37 3" xfId="735" xr:uid="{AC8EF96C-53D7-430D-A96A-10815E684291}"/>
    <cellStyle name="Normal 2 37 4" xfId="736" xr:uid="{CE75B114-C78B-45A9-AC8F-483043EA704E}"/>
    <cellStyle name="Normal 2 37 5" xfId="737" xr:uid="{57012297-8C02-45D6-A6AE-2D4FF6F72075}"/>
    <cellStyle name="Normal 2 37 6" xfId="738" xr:uid="{5C03083C-F3A1-479A-97F9-68370A717236}"/>
    <cellStyle name="Normal 2 37 7" xfId="739" xr:uid="{46C7297C-9B60-4E3E-99EF-6719D36753CB}"/>
    <cellStyle name="Normal 2 37 8" xfId="740" xr:uid="{73323E52-9639-4459-AA3D-5742D9292C5A}"/>
    <cellStyle name="Normal 2 37 9" xfId="741" xr:uid="{93203D0F-B84C-40CD-BDBB-CDAE7953C09C}"/>
    <cellStyle name="Normal 2 38" xfId="742" xr:uid="{0539E045-8BF0-4134-BB6A-4D29F56B205A}"/>
    <cellStyle name="Normal 2 38 10" xfId="743" xr:uid="{1072A15F-1BC9-4F3F-B1A8-6571670A3407}"/>
    <cellStyle name="Normal 2 38 11" xfId="744" xr:uid="{544209D0-5CA5-4FD9-A5F4-D33B7D0E3AAC}"/>
    <cellStyle name="Normal 2 38 12" xfId="745" xr:uid="{5A5FD017-9B6A-4268-96CC-43A4746ABA1D}"/>
    <cellStyle name="Normal 2 38 13" xfId="746" xr:uid="{265AC2AE-D29E-4C12-A19F-2E6A05193255}"/>
    <cellStyle name="Normal 2 38 14" xfId="747" xr:uid="{A8608871-4FB9-4355-841B-DF27C8DB2AE6}"/>
    <cellStyle name="Normal 2 38 15" xfId="748" xr:uid="{FCF31235-9A04-43CE-AB3A-96550AB451B1}"/>
    <cellStyle name="Normal 2 38 16" xfId="749" xr:uid="{0E85E3F7-2E12-4F25-A960-1BE7BEB95FDB}"/>
    <cellStyle name="Normal 2 38 17" xfId="750" xr:uid="{AE978AFE-C8C0-416C-8E27-A1A7FDA9EACC}"/>
    <cellStyle name="Normal 2 38 18" xfId="751" xr:uid="{B7E0DE0C-8611-4A2D-891C-2716CA82A984}"/>
    <cellStyle name="Normal 2 38 19" xfId="752" xr:uid="{6F04BA53-FCBB-488F-A41C-B5CE12B101A8}"/>
    <cellStyle name="Normal 2 38 2" xfId="753" xr:uid="{1A97587F-E1A8-47EE-AFCC-D0A3462BE7D5}"/>
    <cellStyle name="Normal 2 38 20" xfId="754" xr:uid="{EF80FC56-C727-431A-94D4-948A23662DEA}"/>
    <cellStyle name="Normal 2 38 21" xfId="755" xr:uid="{9FC64002-8A55-41F9-B39E-A032974353FB}"/>
    <cellStyle name="Normal 2 38 22" xfId="756" xr:uid="{17B7E8ED-BAE8-4203-B12F-FFC97F28E702}"/>
    <cellStyle name="Normal 2 38 23" xfId="757" xr:uid="{34ADA944-E572-4E5A-AE45-9479F33EA5DE}"/>
    <cellStyle name="Normal 2 38 3" xfId="758" xr:uid="{FF624CBF-C8A5-4FDF-A548-0C9C6F8984FE}"/>
    <cellStyle name="Normal 2 38 4" xfId="759" xr:uid="{3AE709E2-818E-4596-94A5-1E6207052B37}"/>
    <cellStyle name="Normal 2 38 5" xfId="760" xr:uid="{B4D81987-558E-4712-B4F2-499D77F02C5F}"/>
    <cellStyle name="Normal 2 38 6" xfId="761" xr:uid="{4FDE20E5-350B-46AD-A215-EF2658EB2FA3}"/>
    <cellStyle name="Normal 2 38 7" xfId="762" xr:uid="{2D86688B-F4BE-40E3-BAA6-911D1BE863B4}"/>
    <cellStyle name="Normal 2 38 8" xfId="763" xr:uid="{4A626F20-13B7-4929-841B-3DD79FC871D1}"/>
    <cellStyle name="Normal 2 38 9" xfId="764" xr:uid="{BA66AB09-B3B4-4E13-A4E9-03578CB68FC8}"/>
    <cellStyle name="Normal 2 39" xfId="765" xr:uid="{D4B0EFE0-BCE8-41F1-BEEC-4E544DEEFD31}"/>
    <cellStyle name="Normal 2 39 10" xfId="766" xr:uid="{8CC54E55-FF1D-4E85-9495-3E1881BF63F0}"/>
    <cellStyle name="Normal 2 39 11" xfId="767" xr:uid="{3B283777-CBD5-4C5C-ADA7-2E0F23F72B15}"/>
    <cellStyle name="Normal 2 39 12" xfId="768" xr:uid="{BF99947A-7D6C-48C2-9A20-7609399D2D3A}"/>
    <cellStyle name="Normal 2 39 13" xfId="769" xr:uid="{A6E36B2C-E74D-4BE7-8758-FEA734168E0B}"/>
    <cellStyle name="Normal 2 39 14" xfId="770" xr:uid="{BE6F646F-DAD9-4E37-A6C8-7444581605AB}"/>
    <cellStyle name="Normal 2 39 15" xfId="771" xr:uid="{5CD540A0-42DD-4FBD-A55E-17B268F794EA}"/>
    <cellStyle name="Normal 2 39 16" xfId="772" xr:uid="{DB64B8C7-033C-4003-AA32-2DC91A9B5098}"/>
    <cellStyle name="Normal 2 39 17" xfId="773" xr:uid="{95A0716F-F350-4753-B7BF-6CEE365A5303}"/>
    <cellStyle name="Normal 2 39 18" xfId="774" xr:uid="{22B7987E-B15A-41F5-B945-DA3BF431161D}"/>
    <cellStyle name="Normal 2 39 19" xfId="775" xr:uid="{B34F7A3B-30E3-455D-A500-37C514D0A4D6}"/>
    <cellStyle name="Normal 2 39 2" xfId="776" xr:uid="{2BBAFC85-038E-4E01-A9AF-FBB38B80F1A2}"/>
    <cellStyle name="Normal 2 39 20" xfId="777" xr:uid="{76071B9A-DA78-4778-A9E9-0EB1E4EE2B27}"/>
    <cellStyle name="Normal 2 39 21" xfId="778" xr:uid="{BB64226F-BD21-485C-A05E-0DA2118CE948}"/>
    <cellStyle name="Normal 2 39 22" xfId="779" xr:uid="{B905B949-E1A6-4BEB-A614-428FEDDA05A5}"/>
    <cellStyle name="Normal 2 39 23" xfId="780" xr:uid="{BE199B7B-CD50-4AFD-9960-ABFA4CD67123}"/>
    <cellStyle name="Normal 2 39 3" xfId="781" xr:uid="{A2AFEE41-09D4-4F07-B460-30941EBD2CBD}"/>
    <cellStyle name="Normal 2 39 4" xfId="782" xr:uid="{53817FE2-FBBB-4C3F-81DF-C14D65156028}"/>
    <cellStyle name="Normal 2 39 5" xfId="783" xr:uid="{281F534A-921F-4AA8-AF3F-C3FAA0555885}"/>
    <cellStyle name="Normal 2 39 6" xfId="784" xr:uid="{A6DCF7CD-68CF-4870-9B42-BEB5691BCD38}"/>
    <cellStyle name="Normal 2 39 7" xfId="785" xr:uid="{7FAEB1E8-579F-40A7-8FF4-0B5808572E5C}"/>
    <cellStyle name="Normal 2 39 8" xfId="786" xr:uid="{9ED20CBD-E1CC-43EC-9A65-0D2CDFA7AAC1}"/>
    <cellStyle name="Normal 2 39 9" xfId="787" xr:uid="{42C6C6DB-587C-44FC-86BD-1858670A45E9}"/>
    <cellStyle name="Normal 2 4" xfId="788" xr:uid="{A9410D68-F6BB-4E67-8FD8-388185604766}"/>
    <cellStyle name="Normal 2 4 2" xfId="2376" xr:uid="{B000FA79-85DA-4A3B-AE77-3E041D0D2A98}"/>
    <cellStyle name="Normal 2 4 3" xfId="2377" xr:uid="{E5A63E25-220C-4CBF-8A18-1087DE2488FC}"/>
    <cellStyle name="Normal 2 40" xfId="789" xr:uid="{494AF512-67FE-4139-9EC7-3D2600811DE2}"/>
    <cellStyle name="Normal 2 41" xfId="790" xr:uid="{82E8156B-8237-4897-AEE3-9FA9C821CFD4}"/>
    <cellStyle name="Normal 2 42" xfId="791" xr:uid="{546A084E-6D0A-43D8-86B0-49E99B47A3F3}"/>
    <cellStyle name="Normal 2 43" xfId="792" xr:uid="{35F5215E-F64C-41D3-A672-80D55C3C32DE}"/>
    <cellStyle name="Normal 2 44" xfId="793" xr:uid="{3D612781-5DF8-4BB0-B4F1-3CF4F1F63A15}"/>
    <cellStyle name="Normal 2 45" xfId="794" xr:uid="{A034E6E1-A6BB-42D3-A331-5D1FDFEA5952}"/>
    <cellStyle name="Normal 2 46" xfId="795" xr:uid="{19CBEF67-AA92-420A-B4A3-31CEC250EC67}"/>
    <cellStyle name="Normal 2 47" xfId="796" xr:uid="{AF4FE974-1CEA-4504-9D98-DAD89E2CEF5D}"/>
    <cellStyle name="Normal 2 48" xfId="797" xr:uid="{FCF85C0D-4BF8-446F-9A38-C08CB31E46D3}"/>
    <cellStyle name="Normal 2 49" xfId="798" xr:uid="{BAE1C561-41B8-422E-A609-F468A4B0D6A0}"/>
    <cellStyle name="Normal 2 5" xfId="799" xr:uid="{74024FC3-392F-4526-B2D0-40304CF3BD42}"/>
    <cellStyle name="Normal 2 5 10" xfId="800" xr:uid="{3B36C4D9-DF79-4C5B-9DFA-8FCD13DAA58E}"/>
    <cellStyle name="Normal 2 5 11" xfId="801" xr:uid="{FEA72A07-10C5-4290-BA15-8F311554D08C}"/>
    <cellStyle name="Normal 2 5 12" xfId="802" xr:uid="{7A82D105-6382-4137-A89B-B4767848D98B}"/>
    <cellStyle name="Normal 2 5 13" xfId="803" xr:uid="{21F745F3-5889-4B00-A229-94F367E39F8F}"/>
    <cellStyle name="Normal 2 5 14" xfId="804" xr:uid="{C120FCA6-DEC6-486A-AB7E-CEF01BD52AA5}"/>
    <cellStyle name="Normal 2 5 15" xfId="805" xr:uid="{3A18EBC1-DFB3-43C3-A286-F67E8AAE89FD}"/>
    <cellStyle name="Normal 2 5 16" xfId="806" xr:uid="{0EE37BE0-07DC-4CD0-A1AD-4946DBB62250}"/>
    <cellStyle name="Normal 2 5 17" xfId="807" xr:uid="{EA7C49AD-A216-44B3-9C53-74091BE874FB}"/>
    <cellStyle name="Normal 2 5 18" xfId="808" xr:uid="{F8432374-6047-4AEB-9493-60177F8E9AFD}"/>
    <cellStyle name="Normal 2 5 19" xfId="809" xr:uid="{CAAFB1E3-3EB2-4FA0-BB61-869A358E7C77}"/>
    <cellStyle name="Normal 2 5 2" xfId="810" xr:uid="{F9DAF0D7-E11C-4EA5-9A7D-0A35CAA790CD}"/>
    <cellStyle name="Normal 2 5 2 10" xfId="811" xr:uid="{B9E382E8-14E3-4DAF-B09B-2A36537A462D}"/>
    <cellStyle name="Normal 2 5 2 11" xfId="812" xr:uid="{363088E1-1E65-4BC4-9D40-294619525059}"/>
    <cellStyle name="Normal 2 5 2 12" xfId="813" xr:uid="{6B25F7A2-6071-45AB-8E5B-252E19AC5699}"/>
    <cellStyle name="Normal 2 5 2 13" xfId="814" xr:uid="{9DFF99F5-6433-4FFF-A651-9EFD7503FD69}"/>
    <cellStyle name="Normal 2 5 2 14" xfId="815" xr:uid="{5E2721A3-B3D4-46F9-8EE3-FD946706CD42}"/>
    <cellStyle name="Normal 2 5 2 15" xfId="816" xr:uid="{79233570-A9FC-409E-A4BA-51C9A76A5B33}"/>
    <cellStyle name="Normal 2 5 2 16" xfId="817" xr:uid="{FCB24977-B14F-4648-A340-791FF2C20B20}"/>
    <cellStyle name="Normal 2 5 2 17" xfId="818" xr:uid="{81D1CCEB-5CFC-47DE-B5A8-AC6ABD2F3B31}"/>
    <cellStyle name="Normal 2 5 2 18" xfId="819" xr:uid="{BC092C28-DA2D-4E81-B06C-81AF0FF75E74}"/>
    <cellStyle name="Normal 2 5 2 19" xfId="820" xr:uid="{E13E925F-D5D6-437F-9BC4-9100C5F21560}"/>
    <cellStyle name="Normal 2 5 2 2" xfId="821" xr:uid="{59ED336D-0DE9-4DCE-AB58-20BD6A27366C}"/>
    <cellStyle name="Normal 2 5 2 2 10" xfId="822" xr:uid="{935F8095-1F3D-4B91-AA9B-882CE64C6919}"/>
    <cellStyle name="Normal 2 5 2 2 11" xfId="823" xr:uid="{E251FF51-823A-408D-B895-ECFD019FE334}"/>
    <cellStyle name="Normal 2 5 2 2 12" xfId="824" xr:uid="{1EF627FF-E2D1-4574-AE65-4D04AB8B6C3F}"/>
    <cellStyle name="Normal 2 5 2 2 13" xfId="825" xr:uid="{DEE1FCBA-7AAE-48C1-9444-0DE027D4317E}"/>
    <cellStyle name="Normal 2 5 2 2 14" xfId="826" xr:uid="{20C4A0CF-A1F3-4270-AFD2-CCC2195E9036}"/>
    <cellStyle name="Normal 2 5 2 2 15" xfId="827" xr:uid="{0ECE2805-A185-4971-AB8C-3C25E234C6E4}"/>
    <cellStyle name="Normal 2 5 2 2 16" xfId="828" xr:uid="{C8437A79-8696-4C9A-AD8D-A14A5DCC37ED}"/>
    <cellStyle name="Normal 2 5 2 2 17" xfId="829" xr:uid="{EB795FC5-FFFB-4A9B-84EB-3A36D82C1825}"/>
    <cellStyle name="Normal 2 5 2 2 18" xfId="830" xr:uid="{886B2381-7F15-4424-9BDD-1ED1E7CED7F8}"/>
    <cellStyle name="Normal 2 5 2 2 19" xfId="831" xr:uid="{7389CAAD-FCAB-4054-8626-492B79E361C6}"/>
    <cellStyle name="Normal 2 5 2 2 2" xfId="832" xr:uid="{41A0A761-6A78-420F-9736-1DF872F3E810}"/>
    <cellStyle name="Normal 2 5 2 2 20" xfId="833" xr:uid="{972B66FD-E0B0-4072-A323-B211E0939B67}"/>
    <cellStyle name="Normal 2 5 2 2 21" xfId="834" xr:uid="{2031D0B7-8DB6-4503-A7BC-0F0F92F29E79}"/>
    <cellStyle name="Normal 2 5 2 2 22" xfId="835" xr:uid="{7491027D-756F-424E-A1EE-186DE1E291FB}"/>
    <cellStyle name="Normal 2 5 2 2 23" xfId="836" xr:uid="{8FF1FCC3-53AF-48BE-9B12-EEBEFC1A9395}"/>
    <cellStyle name="Normal 2 5 2 2 24" xfId="837" xr:uid="{892CDDCF-4A78-4691-BC30-4D10D5BE4466}"/>
    <cellStyle name="Normal 2 5 2 2 25" xfId="838" xr:uid="{02C67274-CC39-4899-8996-92543BDD42BE}"/>
    <cellStyle name="Normal 2 5 2 2 26" xfId="839" xr:uid="{6ACEE166-2628-48C2-BE4E-AD3E16F92273}"/>
    <cellStyle name="Normal 2 5 2 2 27" xfId="840" xr:uid="{593394E3-B2BC-4DAB-AC21-1CC16622FA16}"/>
    <cellStyle name="Normal 2 5 2 2 28" xfId="841" xr:uid="{2A1CAC76-F11B-474F-A2DC-4DCDCEB750B2}"/>
    <cellStyle name="Normal 2 5 2 2 29" xfId="842" xr:uid="{2E95CDA9-6884-47A1-BE33-2511386BB522}"/>
    <cellStyle name="Normal 2 5 2 2 3" xfId="843" xr:uid="{A1BEFCB4-5794-4753-9582-6FA9E891A898}"/>
    <cellStyle name="Normal 2 5 2 2 30" xfId="844" xr:uid="{04F81DE5-2218-4F04-981C-E55EB30F291C}"/>
    <cellStyle name="Normal 2 5 2 2 31" xfId="845" xr:uid="{7F21914D-4955-44E3-BBFE-4098E65E3063}"/>
    <cellStyle name="Normal 2 5 2 2 32" xfId="846" xr:uid="{C7C2078C-CECE-44D2-AF30-9174AD714D24}"/>
    <cellStyle name="Normal 2 5 2 2 33" xfId="847" xr:uid="{ED3618A1-DDF2-413C-828F-428BC93A2F70}"/>
    <cellStyle name="Normal 2 5 2 2 34" xfId="848" xr:uid="{FD126D70-3BA3-4322-A126-283326AAE055}"/>
    <cellStyle name="Normal 2 5 2 2 35" xfId="849" xr:uid="{C2355140-0518-415C-A11F-A592F751C4EA}"/>
    <cellStyle name="Normal 2 5 2 2 36" xfId="850" xr:uid="{F0C3BB08-863F-47C8-9609-1A351E7724A4}"/>
    <cellStyle name="Normal 2 5 2 2 37" xfId="851" xr:uid="{CD6B8934-B23E-4C4A-97B9-9B23F8B1A587}"/>
    <cellStyle name="Normal 2 5 2 2 38" xfId="852" xr:uid="{5CB58CC0-3FD4-463B-A4F6-D271C9F7686C}"/>
    <cellStyle name="Normal 2 5 2 2 39" xfId="853" xr:uid="{733ECCFA-B7BD-4FE5-9CDB-03638A9F61D3}"/>
    <cellStyle name="Normal 2 5 2 2 4" xfId="854" xr:uid="{0D503877-3D69-4824-AC93-FCE53D0C38E1}"/>
    <cellStyle name="Normal 2 5 2 2 40" xfId="855" xr:uid="{91539903-ED3B-4076-9074-BE2D59A72796}"/>
    <cellStyle name="Normal 2 5 2 2 41" xfId="856" xr:uid="{170E27E4-CC8B-4254-8208-A7FC998E43DF}"/>
    <cellStyle name="Normal 2 5 2 2 42" xfId="857" xr:uid="{1DBA3AE4-90A3-4C9B-B1B2-BD40D186F472}"/>
    <cellStyle name="Normal 2 5 2 2 43" xfId="858" xr:uid="{4F873F7F-9096-4DC8-A82D-3D05D52FBD47}"/>
    <cellStyle name="Normal 2 5 2 2 44" xfId="859" xr:uid="{D24E8B0D-DBC1-4CE4-AD17-B29AE4ED7557}"/>
    <cellStyle name="Normal 2 5 2 2 45" xfId="860" xr:uid="{E9E1ED54-225B-452C-9AA4-34E777C98411}"/>
    <cellStyle name="Normal 2 5 2 2 46" xfId="861" xr:uid="{3A50CAA6-4AA6-421A-AFA2-47E6BC0D75D6}"/>
    <cellStyle name="Normal 2 5 2 2 47" xfId="862" xr:uid="{DB087915-6F62-4B1B-9800-94A785AFF22C}"/>
    <cellStyle name="Normal 2 5 2 2 48" xfId="863" xr:uid="{42E92B50-28AB-4D74-ACA5-0F36B92B7272}"/>
    <cellStyle name="Normal 2 5 2 2 49" xfId="864" xr:uid="{68137074-9EB1-4CCF-AB58-49DAE7878061}"/>
    <cellStyle name="Normal 2 5 2 2 5" xfId="865" xr:uid="{21A8976E-166C-4D0B-B98B-A175F227F294}"/>
    <cellStyle name="Normal 2 5 2 2 50" xfId="866" xr:uid="{4859D733-3AA8-43EB-9D87-F2E0BEFD1A83}"/>
    <cellStyle name="Normal 2 5 2 2 51" xfId="867" xr:uid="{2813CFB8-8EBA-4B31-A15E-8BA102E6AF83}"/>
    <cellStyle name="Normal 2 5 2 2 52" xfId="868" xr:uid="{7EB1AFA1-EC83-40E8-A139-27C110D9B9F9}"/>
    <cellStyle name="Normal 2 5 2 2 53" xfId="869" xr:uid="{F9BE1E83-2EF6-40FE-B829-7E27BF017840}"/>
    <cellStyle name="Normal 2 5 2 2 54" xfId="870" xr:uid="{45580363-6096-4B3B-8432-ED3516ECF48E}"/>
    <cellStyle name="Normal 2 5 2 2 55" xfId="871" xr:uid="{784C4DC3-4418-4412-BA7F-B0DD5089E9E0}"/>
    <cellStyle name="Normal 2 5 2 2 6" xfId="872" xr:uid="{89AA8D56-7A37-45B9-8A69-0071BD32A790}"/>
    <cellStyle name="Normal 2 5 2 2 7" xfId="873" xr:uid="{81DE4281-71FF-4573-BB83-4437A1A6B6CE}"/>
    <cellStyle name="Normal 2 5 2 2 8" xfId="874" xr:uid="{3E94A05F-EC5A-49EE-A313-962863CB64EC}"/>
    <cellStyle name="Normal 2 5 2 2 9" xfId="875" xr:uid="{0158110E-4141-4546-9FE8-A6E2F120B059}"/>
    <cellStyle name="Normal 2 5 2 20" xfId="876" xr:uid="{3B129C7F-39C3-446F-BE46-127631077A76}"/>
    <cellStyle name="Normal 2 5 2 21" xfId="877" xr:uid="{9A39AACF-ED8D-428D-B059-7C4626E37FE2}"/>
    <cellStyle name="Normal 2 5 2 22" xfId="878" xr:uid="{60C6A759-89DC-41FB-9A1E-9327DE610F6E}"/>
    <cellStyle name="Normal 2 5 2 23" xfId="879" xr:uid="{642248DC-8112-4A88-8C5B-4CACA45095E9}"/>
    <cellStyle name="Normal 2 5 2 24" xfId="880" xr:uid="{5247A8B0-DB48-4717-9067-D114594F730E}"/>
    <cellStyle name="Normal 2 5 2 25" xfId="881" xr:uid="{F6DC2343-C386-42D6-89B1-745ECB0CFF5C}"/>
    <cellStyle name="Normal 2 5 2 26" xfId="882" xr:uid="{D7A9B429-44BE-4F2A-9330-74C338D0065A}"/>
    <cellStyle name="Normal 2 5 2 27" xfId="883" xr:uid="{E370870C-AA9D-4724-A995-0F174D41A3BF}"/>
    <cellStyle name="Normal 2 5 2 28" xfId="884" xr:uid="{E0F2B8F8-B94C-495D-A765-44B810B62858}"/>
    <cellStyle name="Normal 2 5 2 29" xfId="885" xr:uid="{2B7FAAB3-2B07-4E40-B826-1C776C8C8F9D}"/>
    <cellStyle name="Normal 2 5 2 3" xfId="886" xr:uid="{D00A891D-D5A4-4755-A44D-B95F3E2604D7}"/>
    <cellStyle name="Normal 2 5 2 30" xfId="887" xr:uid="{E3267642-9E12-4D74-9979-9F9C64A39318}"/>
    <cellStyle name="Normal 2 5 2 31" xfId="888" xr:uid="{F833DE3A-E026-4F18-94F4-C0D0077FA27A}"/>
    <cellStyle name="Normal 2 5 2 32" xfId="889" xr:uid="{9E8ED136-854D-46CA-8667-F46FB2F2D818}"/>
    <cellStyle name="Normal 2 5 2 33" xfId="890" xr:uid="{96D8E4B6-0909-4C27-B6D7-8FB6F4F91CB3}"/>
    <cellStyle name="Normal 2 5 2 4" xfId="891" xr:uid="{03AEC334-30DC-44F6-A1DD-1BD16F8A331B}"/>
    <cellStyle name="Normal 2 5 2 5" xfId="892" xr:uid="{C40AE39B-3569-4A07-BC32-4AAA41B9986D}"/>
    <cellStyle name="Normal 2 5 2 6" xfId="893" xr:uid="{D4611AFA-14E7-4A9C-AA82-570150D5508D}"/>
    <cellStyle name="Normal 2 5 2 7" xfId="894" xr:uid="{EEC8C582-52E9-40CC-9E65-25BB55389C31}"/>
    <cellStyle name="Normal 2 5 2 8" xfId="895" xr:uid="{6EF0D04F-C4E6-4E1A-B571-268C0A9B4456}"/>
    <cellStyle name="Normal 2 5 2 9" xfId="896" xr:uid="{A2D8BC47-BBB9-4EDD-A791-2C59823A6AA1}"/>
    <cellStyle name="Normal 2 5 20" xfId="897" xr:uid="{CD8620E6-0DF8-413F-8AAF-499E2806106A}"/>
    <cellStyle name="Normal 2 5 21" xfId="898" xr:uid="{4E14AD13-DC93-4C06-9C78-DF7CFC321A49}"/>
    <cellStyle name="Normal 2 5 22" xfId="899" xr:uid="{1D143D45-97BB-4B4B-9046-6A37C241BCFA}"/>
    <cellStyle name="Normal 2 5 23" xfId="900" xr:uid="{90200027-7C74-43D4-AE72-2DD695514C87}"/>
    <cellStyle name="Normal 2 5 24" xfId="901" xr:uid="{D41FBCE5-83BB-46E8-8647-31464FA8E57A}"/>
    <cellStyle name="Normal 2 5 25" xfId="902" xr:uid="{ED60806E-D701-47C1-ABB6-2F5B19BCD7CA}"/>
    <cellStyle name="Normal 2 5 26" xfId="903" xr:uid="{A5392021-538B-49AF-B745-0FBBCFA3D554}"/>
    <cellStyle name="Normal 2 5 27" xfId="904" xr:uid="{8B156DFE-AB2A-4E9F-9D4B-CF086FBEC09B}"/>
    <cellStyle name="Normal 2 5 28" xfId="905" xr:uid="{10CE930B-4364-4E93-8B30-8B403472CE5E}"/>
    <cellStyle name="Normal 2 5 29" xfId="906" xr:uid="{85667B6D-BAA4-4FE7-A69F-E34EB3DF928C}"/>
    <cellStyle name="Normal 2 5 3" xfId="907" xr:uid="{A3568081-1EC4-4404-ADE5-6D40B9246399}"/>
    <cellStyle name="Normal 2 5 30" xfId="908" xr:uid="{3B7732B6-4B79-4902-8A3F-1C4E5D6052E9}"/>
    <cellStyle name="Normal 2 5 31" xfId="909" xr:uid="{B1D1F7E3-5895-403E-B2C7-0983678CBE8F}"/>
    <cellStyle name="Normal 2 5 32" xfId="910" xr:uid="{FF9A2A11-098B-4CD1-80A1-340383A447FF}"/>
    <cellStyle name="Normal 2 5 33" xfId="911" xr:uid="{F6D5C4C9-7F5A-4821-8018-01B1988C08D2}"/>
    <cellStyle name="Normal 2 5 34" xfId="912" xr:uid="{81A770A4-0E50-47F9-A8A2-FE690C401C8B}"/>
    <cellStyle name="Normal 2 5 35" xfId="913" xr:uid="{59EE93B3-0C77-41A7-935E-CE74D89FD09B}"/>
    <cellStyle name="Normal 2 5 36" xfId="914" xr:uid="{4D62CA2B-38F2-4C62-B5E5-3D01D71DBF4C}"/>
    <cellStyle name="Normal 2 5 37" xfId="915" xr:uid="{FBCC64BC-95C2-4EDD-A30A-9B9471F039F9}"/>
    <cellStyle name="Normal 2 5 38" xfId="916" xr:uid="{F87CF257-18EE-46D6-B339-49089680616A}"/>
    <cellStyle name="Normal 2 5 39" xfId="917" xr:uid="{843EF952-16EF-42EB-83C8-A949DF4B31A2}"/>
    <cellStyle name="Normal 2 5 4" xfId="918" xr:uid="{E77B035D-33C3-4ABC-B859-5B9A250CC647}"/>
    <cellStyle name="Normal 2 5 40" xfId="919" xr:uid="{96A395DD-6E6F-4AE1-AA10-AD792BB41C43}"/>
    <cellStyle name="Normal 2 5 41" xfId="920" xr:uid="{E83D9D1F-AA97-471F-885A-99DF7F4A9E5D}"/>
    <cellStyle name="Normal 2 5 42" xfId="921" xr:uid="{F190FAE3-D837-4E27-A013-EF256C6B332F}"/>
    <cellStyle name="Normal 2 5 43" xfId="922" xr:uid="{BD85582F-D1C7-4814-8264-19D285B2AB57}"/>
    <cellStyle name="Normal 2 5 44" xfId="923" xr:uid="{D8E6B8C6-177C-4984-99A1-D307B52D9DA6}"/>
    <cellStyle name="Normal 2 5 45" xfId="924" xr:uid="{BE4816FE-A9A5-49CD-A78E-E61BEABD6FAF}"/>
    <cellStyle name="Normal 2 5 46" xfId="925" xr:uid="{10855E0E-8362-4C02-9CDB-2C3EA6659C6C}"/>
    <cellStyle name="Normal 2 5 47" xfId="926" xr:uid="{95EB473D-9641-4CBE-B84E-97960E121C91}"/>
    <cellStyle name="Normal 2 5 48" xfId="927" xr:uid="{7A93CAEF-4FF8-42E2-B136-2033606A8FF2}"/>
    <cellStyle name="Normal 2 5 49" xfId="928" xr:uid="{FC2E56C0-E852-4EB9-BC6F-946EED0EAF90}"/>
    <cellStyle name="Normal 2 5 5" xfId="929" xr:uid="{18DD2C44-E144-4D0C-9F56-D9635268068C}"/>
    <cellStyle name="Normal 2 5 50" xfId="930" xr:uid="{43A0012F-FA79-4D5E-A942-644EAE7FE37E}"/>
    <cellStyle name="Normal 2 5 51" xfId="931" xr:uid="{F4F37B53-96F0-4E16-A3E9-07EADD6B2E6F}"/>
    <cellStyle name="Normal 2 5 52" xfId="932" xr:uid="{7358764C-CA41-4383-A43B-58D368026D44}"/>
    <cellStyle name="Normal 2 5 53" xfId="933" xr:uid="{86B13C66-EFF3-4BF2-AED1-DE05AE53D6C6}"/>
    <cellStyle name="Normal 2 5 54" xfId="934" xr:uid="{1E58E001-6A71-4F3F-B87C-0433BE79057C}"/>
    <cellStyle name="Normal 2 5 55" xfId="935" xr:uid="{4EB460D1-0A9B-41B3-A683-1E10F2496DE1}"/>
    <cellStyle name="Normal 2 5 56" xfId="936" xr:uid="{04E10743-84C6-452B-9578-4DAFD59E653C}"/>
    <cellStyle name="Normal 2 5 57" xfId="937" xr:uid="{FE397205-5A73-4B72-A536-5F8D42F45CD3}"/>
    <cellStyle name="Normal 2 5 58" xfId="938" xr:uid="{9D146D24-0344-483C-88D5-D85745DB2B46}"/>
    <cellStyle name="Normal 2 5 59" xfId="939" xr:uid="{DAE5A6DB-47D8-4EC1-9918-9074A4CC7C56}"/>
    <cellStyle name="Normal 2 5 6" xfId="940" xr:uid="{2805820E-DE0A-4ADD-AA73-929335284972}"/>
    <cellStyle name="Normal 2 5 60" xfId="941" xr:uid="{88899122-912B-4F60-B6EC-D7587445E07E}"/>
    <cellStyle name="Normal 2 5 61" xfId="942" xr:uid="{AC41BBFE-DF3A-4290-A459-C50C9E2957B2}"/>
    <cellStyle name="Normal 2 5 62" xfId="943" xr:uid="{6249227D-9255-4E7E-948E-F2ED1196D0D0}"/>
    <cellStyle name="Normal 2 5 63" xfId="944" xr:uid="{AE3327C8-63AF-4B83-8651-86FD4E97CDF0}"/>
    <cellStyle name="Normal 2 5 64" xfId="945" xr:uid="{E2102BC2-4C0A-42D5-AAB5-6C3EAA508D99}"/>
    <cellStyle name="Normal 2 5 65" xfId="946" xr:uid="{85903183-143A-4016-9610-980C824BEABA}"/>
    <cellStyle name="Normal 2 5 66" xfId="947" xr:uid="{403E87B2-3D10-4408-BB53-7FC2AFCF4DF0}"/>
    <cellStyle name="Normal 2 5 67" xfId="948" xr:uid="{B7768B82-309D-40B2-907F-0BF0961098F1}"/>
    <cellStyle name="Normal 2 5 68" xfId="949" xr:uid="{6038F15A-2098-4A1E-B66E-917C5C33C13B}"/>
    <cellStyle name="Normal 2 5 69" xfId="950" xr:uid="{CF18357C-989F-4074-A9B5-7A24B802B300}"/>
    <cellStyle name="Normal 2 5 7" xfId="951" xr:uid="{50E2794B-A470-4C53-A422-55FD7A60D7C2}"/>
    <cellStyle name="Normal 2 5 70" xfId="952" xr:uid="{748CE474-44AC-47C4-886C-DDA607EA3754}"/>
    <cellStyle name="Normal 2 5 71" xfId="953" xr:uid="{6E901A93-32FE-4521-B8F1-429F7001176A}"/>
    <cellStyle name="Normal 2 5 72" xfId="954" xr:uid="{A8F8B19D-6043-4781-9683-2E8025C8D249}"/>
    <cellStyle name="Normal 2 5 73" xfId="955" xr:uid="{FDC9E540-321A-4DD2-936A-DCA3ECF3D60F}"/>
    <cellStyle name="Normal 2 5 74" xfId="956" xr:uid="{B4D69A72-38E2-47FD-93F9-67EDC57A58DE}"/>
    <cellStyle name="Normal 2 5 75" xfId="957" xr:uid="{802BE339-2E29-4C5F-B7DE-2033ADE93C12}"/>
    <cellStyle name="Normal 2 5 76" xfId="958" xr:uid="{D313F0A8-27E6-45E4-95C5-5E4717DC091F}"/>
    <cellStyle name="Normal 2 5 77" xfId="959" xr:uid="{0E7654A3-CD06-4D4F-9B8A-EEFEDE0CAC1D}"/>
    <cellStyle name="Normal 2 5 78" xfId="960" xr:uid="{88E1590F-1300-4055-A5DD-DEB7BAFC5A5C}"/>
    <cellStyle name="Normal 2 5 79" xfId="961" xr:uid="{6BAD16CE-203F-4D01-B78B-5F95009F7541}"/>
    <cellStyle name="Normal 2 5 8" xfId="962" xr:uid="{1B1DE189-24FA-4FB8-AD55-D22720531CEE}"/>
    <cellStyle name="Normal 2 5 80" xfId="963" xr:uid="{B647EBE5-684B-49AD-87EC-8D41D579660B}"/>
    <cellStyle name="Normal 2 5 81" xfId="964" xr:uid="{91A4EC0F-EF4A-433D-B53B-90B7BF5CC733}"/>
    <cellStyle name="Normal 2 5 82" xfId="965" xr:uid="{B89BB17E-5CF2-4716-8019-05CFE655319E}"/>
    <cellStyle name="Normal 2 5 83" xfId="966" xr:uid="{BE8BC513-73C0-45FA-B024-90BDA4498024}"/>
    <cellStyle name="Normal 2 5 84" xfId="967" xr:uid="{4B2AFCC5-C346-4312-832B-18ECBC54F02E}"/>
    <cellStyle name="Normal 2 5 85" xfId="968" xr:uid="{AA228EF6-802D-4F3C-94A4-9B410BD544A9}"/>
    <cellStyle name="Normal 2 5 86" xfId="969" xr:uid="{6370F1D8-93A6-46E7-830A-331FE4726925}"/>
    <cellStyle name="Normal 2 5 87" xfId="970" xr:uid="{9396E257-EB83-4D2B-948F-C3CC0C963FE5}"/>
    <cellStyle name="Normal 2 5 88" xfId="2378" xr:uid="{A90B07FF-C137-4BCF-8E94-3E7EDE51C48F}"/>
    <cellStyle name="Normal 2 5 9" xfId="971" xr:uid="{4377DABF-38E4-4187-827B-E919451E9CE5}"/>
    <cellStyle name="Normal 2 5_DEER 032008 Cost Summary Delivery - Rev 4 (2)" xfId="972" xr:uid="{09D17C18-DC06-43E3-8CF7-9CD51162AA68}"/>
    <cellStyle name="Normal 2 50" xfId="973" xr:uid="{3C77A377-AF97-4765-AEEA-286E524C19CA}"/>
    <cellStyle name="Normal 2 51" xfId="974" xr:uid="{D2325576-2ABB-49D1-9D8E-D591B3E754E1}"/>
    <cellStyle name="Normal 2 52" xfId="975" xr:uid="{534640F2-6FB9-4752-8FCB-5CDFBDE3AEFA}"/>
    <cellStyle name="Normal 2 53" xfId="976" xr:uid="{17DE9F3C-34AB-4288-B6AD-7CFC01321A39}"/>
    <cellStyle name="Normal 2 54" xfId="977" xr:uid="{140FA9E1-1E67-4A6A-AC5B-4ABF02583F2E}"/>
    <cellStyle name="Normal 2 55" xfId="978" xr:uid="{40B2ED85-A93F-4F49-B04F-409C3BBA8ADC}"/>
    <cellStyle name="Normal 2 56" xfId="979" xr:uid="{F0C4B13E-B8D9-4DD4-8C60-04C3B432143D}"/>
    <cellStyle name="Normal 2 57" xfId="980" xr:uid="{AF98C311-F070-4648-BAEE-B725D0BDA729}"/>
    <cellStyle name="Normal 2 58" xfId="981" xr:uid="{06E886C0-FFCF-4CEF-87F5-76A37304FE00}"/>
    <cellStyle name="Normal 2 59" xfId="982" xr:uid="{F34D9A24-74A9-4C4A-B22B-5A22026D4487}"/>
    <cellStyle name="Normal 2 6" xfId="983" xr:uid="{B6868815-C73C-45D2-8878-CEB93686F5CB}"/>
    <cellStyle name="Normal 2 6 2" xfId="2379" xr:uid="{A39182AC-BA0B-4179-AB5D-488B62AD3A47}"/>
    <cellStyle name="Normal 2 60" xfId="984" xr:uid="{27654A0B-4C69-43FA-BC67-E3689609B912}"/>
    <cellStyle name="Normal 2 61" xfId="985" xr:uid="{896CD9AF-5ADD-4BED-9641-64452EABAE08}"/>
    <cellStyle name="Normal 2 62" xfId="986" xr:uid="{E2ABEAAB-16B9-451B-9864-CD210A46047B}"/>
    <cellStyle name="Normal 2 63" xfId="987" xr:uid="{3292BB80-450B-46CD-B183-0389DA104C86}"/>
    <cellStyle name="Normal 2 64" xfId="988" xr:uid="{03332153-0E2F-4285-B329-47D57C7E645C}"/>
    <cellStyle name="Normal 2 65" xfId="989" xr:uid="{B734DCB6-5334-474D-A880-4686FD268CAD}"/>
    <cellStyle name="Normal 2 66" xfId="990" xr:uid="{4D07F9F4-0823-406A-B2AD-4A7DEF3C4C5E}"/>
    <cellStyle name="Normal 2 67" xfId="991" xr:uid="{ED8309B0-4FFD-4DA5-961A-A84EF05571ED}"/>
    <cellStyle name="Normal 2 68" xfId="992" xr:uid="{CAD2EDC6-63BA-44B0-9841-0D7A13F12C0E}"/>
    <cellStyle name="Normal 2 69" xfId="993" xr:uid="{2116F10D-D9C9-422E-A497-3F193235978D}"/>
    <cellStyle name="Normal 2 7" xfId="994" xr:uid="{1AB857B2-BA25-4D19-BC8E-7B0DE3598E2B}"/>
    <cellStyle name="Normal 2 70" xfId="995" xr:uid="{8BFA54E2-A837-41DF-9319-047A5A3FB013}"/>
    <cellStyle name="Normal 2 71" xfId="996" xr:uid="{E82BD2AB-896B-4190-A17E-83EA43F83467}"/>
    <cellStyle name="Normal 2 72" xfId="997" xr:uid="{81B54807-E9E2-4083-9DBA-3B5E78EFFCFF}"/>
    <cellStyle name="Normal 2 73" xfId="998" xr:uid="{92D3DF11-5856-4BDC-8581-44F7F0B270DE}"/>
    <cellStyle name="Normal 2 74" xfId="999" xr:uid="{2E9FCA1A-B1A4-4756-8228-87CEA41CF41B}"/>
    <cellStyle name="Normal 2 75" xfId="1000" xr:uid="{6E7327E4-AE85-4AD5-8039-75840C660734}"/>
    <cellStyle name="Normal 2 76" xfId="1001" xr:uid="{75AC2900-A3C0-4D4D-97C0-7DBABD8B545A}"/>
    <cellStyle name="Normal 2 77" xfId="1002" xr:uid="{8BAA6C50-F076-4E3B-8439-D5C32ED2E0FB}"/>
    <cellStyle name="Normal 2 78" xfId="1003" xr:uid="{6D2850EB-49F3-447C-B4FC-29AC3DABB648}"/>
    <cellStyle name="Normal 2 79" xfId="1004" xr:uid="{E302BFE5-91FA-4DEB-ABBE-91803A37C099}"/>
    <cellStyle name="Normal 2 8" xfId="1005" xr:uid="{8B823625-CEB9-4798-855A-B6ABB73A37A3}"/>
    <cellStyle name="Normal 2 8 10" xfId="1006" xr:uid="{5B3B8449-F2B2-4BC4-9ED8-C6D5EF887E2A}"/>
    <cellStyle name="Normal 2 8 11" xfId="1007" xr:uid="{F4A1B061-2FD5-4888-9B97-D3F9A3DFD60B}"/>
    <cellStyle name="Normal 2 8 12" xfId="1008" xr:uid="{453C5BEC-3EDC-4E81-B7DA-070B1F95D7CC}"/>
    <cellStyle name="Normal 2 8 13" xfId="1009" xr:uid="{147F8E6A-9F01-41CF-9BA9-7E9C54F55DB8}"/>
    <cellStyle name="Normal 2 8 14" xfId="1010" xr:uid="{7F709E60-962C-45F9-ADD3-212517C49BBA}"/>
    <cellStyle name="Normal 2 8 15" xfId="1011" xr:uid="{87D8CF48-B027-4693-BCE3-7E1C5F7232E4}"/>
    <cellStyle name="Normal 2 8 16" xfId="1012" xr:uid="{DBE0A769-CFA1-4ED1-9BE0-527B332CDB6C}"/>
    <cellStyle name="Normal 2 8 17" xfId="1013" xr:uid="{70A9FE72-0CE5-4CDC-91DD-78C9ACAAB959}"/>
    <cellStyle name="Normal 2 8 18" xfId="1014" xr:uid="{033A4301-1E90-410C-B497-2388E1EC8148}"/>
    <cellStyle name="Normal 2 8 19" xfId="1015" xr:uid="{E1902DB0-7EAA-4D47-A106-69BD6BC6B1AD}"/>
    <cellStyle name="Normal 2 8 2" xfId="1016" xr:uid="{90FE5179-FF7B-478A-A5B5-8EE86E9824C8}"/>
    <cellStyle name="Normal 2 8 20" xfId="1017" xr:uid="{2C4B19EF-0003-4138-A37D-76F0B56409E3}"/>
    <cellStyle name="Normal 2 8 21" xfId="1018" xr:uid="{66FA1C83-B873-449B-BE67-82279D1ECD13}"/>
    <cellStyle name="Normal 2 8 22" xfId="1019" xr:uid="{E0E092A8-19AD-4C49-8A5F-81F8B408BAEE}"/>
    <cellStyle name="Normal 2 8 23" xfId="1020" xr:uid="{18389AA3-04DB-4AE9-9D66-3035DA1B31D6}"/>
    <cellStyle name="Normal 2 8 3" xfId="1021" xr:uid="{FF61461B-7EA9-4A09-9D17-46C8CACDDAE2}"/>
    <cellStyle name="Normal 2 8 4" xfId="1022" xr:uid="{E5051ECF-D3E3-4986-99F7-F103604D2D98}"/>
    <cellStyle name="Normal 2 8 5" xfId="1023" xr:uid="{D8AA5AA5-29D0-4FF6-8806-F9D09DC6D6DD}"/>
    <cellStyle name="Normal 2 8 6" xfId="1024" xr:uid="{7C21149A-62A8-4841-9032-87D224E84BD6}"/>
    <cellStyle name="Normal 2 8 7" xfId="1025" xr:uid="{43ABB1E8-E413-485D-936C-A98AA5B2E719}"/>
    <cellStyle name="Normal 2 8 8" xfId="1026" xr:uid="{F313C69B-3D54-499B-ACA5-831B39AACBF4}"/>
    <cellStyle name="Normal 2 8 9" xfId="1027" xr:uid="{2C896CB6-54A9-42AA-8BEB-991BECC2B888}"/>
    <cellStyle name="Normal 2 80" xfId="1028" xr:uid="{95CE0C1D-AE9A-4E03-A26D-32C270F7F315}"/>
    <cellStyle name="Normal 2 81" xfId="1029" xr:uid="{A486D6A9-9335-4F32-A7EF-B02A323E2018}"/>
    <cellStyle name="Normal 2 82" xfId="1030" xr:uid="{B939BC39-446E-49E3-8932-8CDD75E7695A}"/>
    <cellStyle name="Normal 2 83" xfId="1031" xr:uid="{B5CAB08B-66F8-4BEC-ADE1-A52970785381}"/>
    <cellStyle name="Normal 2 84" xfId="1032" xr:uid="{26DCF819-6CF0-4C0A-BAD2-E5357A2EE697}"/>
    <cellStyle name="Normal 2 85" xfId="1033" xr:uid="{45F7A880-2065-4039-B921-A147F311BC00}"/>
    <cellStyle name="Normal 2 86" xfId="1034" xr:uid="{CA212DDA-15B7-4B2F-9A60-399546E32CC1}"/>
    <cellStyle name="Normal 2 87" xfId="1035" xr:uid="{43BA137F-987D-4290-90AA-873EEE365C84}"/>
    <cellStyle name="Normal 2 88" xfId="1036" xr:uid="{BF65B736-1810-4F49-BDFB-C285B69963F0}"/>
    <cellStyle name="Normal 2 89" xfId="1037" xr:uid="{6BDB4236-4041-4102-9581-333606D3364A}"/>
    <cellStyle name="Normal 2 9" xfId="1038" xr:uid="{25CD038F-8DFE-4283-91A5-C90947A617B0}"/>
    <cellStyle name="Normal 2 9 10" xfId="1039" xr:uid="{90ADCDB1-6A09-4581-A0B5-D74BD2864A7D}"/>
    <cellStyle name="Normal 2 9 11" xfId="1040" xr:uid="{898A22C0-DE3B-4664-8D75-B969F7279637}"/>
    <cellStyle name="Normal 2 9 12" xfId="1041" xr:uid="{BED2F254-A93E-4E45-A910-F61C59E65314}"/>
    <cellStyle name="Normal 2 9 13" xfId="1042" xr:uid="{FF95E046-AEBF-4967-A0FC-4C20B699C318}"/>
    <cellStyle name="Normal 2 9 14" xfId="1043" xr:uid="{4CA55B16-3EEE-4FFD-9C30-792952B4B317}"/>
    <cellStyle name="Normal 2 9 15" xfId="1044" xr:uid="{F1CCC694-117C-4F28-92DD-E834A0052A3D}"/>
    <cellStyle name="Normal 2 9 16" xfId="1045" xr:uid="{A774BE1E-845F-416E-BA08-FDEA9F5DEB5B}"/>
    <cellStyle name="Normal 2 9 17" xfId="1046" xr:uid="{62115B51-F15A-4699-876F-25C060F17C09}"/>
    <cellStyle name="Normal 2 9 18" xfId="1047" xr:uid="{5F49772D-D23D-4834-B4E7-B68DA9D0FE5B}"/>
    <cellStyle name="Normal 2 9 19" xfId="1048" xr:uid="{30055FEA-41DE-42E8-95F8-3BA0FABBDEC4}"/>
    <cellStyle name="Normal 2 9 2" xfId="1049" xr:uid="{F7CE1299-0414-4065-AF4F-F08FF7BABA80}"/>
    <cellStyle name="Normal 2 9 20" xfId="1050" xr:uid="{BB146CE7-DFB1-4288-984C-54029C361A72}"/>
    <cellStyle name="Normal 2 9 21" xfId="1051" xr:uid="{819BD4BD-C49B-4825-A372-D128B40E4BBC}"/>
    <cellStyle name="Normal 2 9 22" xfId="1052" xr:uid="{A66052BE-3B0F-4A70-B5D9-F1E8798C945E}"/>
    <cellStyle name="Normal 2 9 23" xfId="1053" xr:uid="{A9114FE0-98CF-499A-A7BB-E7F4E9367449}"/>
    <cellStyle name="Normal 2 9 3" xfId="1054" xr:uid="{1D0032A1-F4A8-423F-A3BD-0393F407E529}"/>
    <cellStyle name="Normal 2 9 4" xfId="1055" xr:uid="{0A0F415C-4520-41E0-979C-809DAA1BC06D}"/>
    <cellStyle name="Normal 2 9 5" xfId="1056" xr:uid="{4FD648C4-6AA5-4F59-B636-A63E781D3292}"/>
    <cellStyle name="Normal 2 9 6" xfId="1057" xr:uid="{E4C16AC9-AF18-4510-991C-E40BCB29A759}"/>
    <cellStyle name="Normal 2 9 7" xfId="1058" xr:uid="{289B28A0-CEB2-4C7D-84A5-23724CB1F0AB}"/>
    <cellStyle name="Normal 2 9 8" xfId="1059" xr:uid="{5AA6E869-C371-4E7C-9EAB-5DA171A5D873}"/>
    <cellStyle name="Normal 2 9 9" xfId="1060" xr:uid="{3B68508C-6815-4425-8EBB-F969E989B728}"/>
    <cellStyle name="Normal 2 90" xfId="1061" xr:uid="{E02655D5-0243-49A1-8CAD-805F703A6F39}"/>
    <cellStyle name="Normal 2 91" xfId="1062" xr:uid="{5BC918ED-91FA-4388-A4B7-7FB2C8F7F4F6}"/>
    <cellStyle name="Normal 2 92" xfId="1063" xr:uid="{F650F1BB-8CFF-4911-A2A4-ACF86404DE5F}"/>
    <cellStyle name="Normal 2 93" xfId="1064" xr:uid="{9F3D44EC-6828-4D7B-9B72-6ECF8B96670B}"/>
    <cellStyle name="Normal 2 94" xfId="57" xr:uid="{B6452BD8-0C77-403E-A2EF-C2F50D3182DA}"/>
    <cellStyle name="Normal 2 95" xfId="2065" xr:uid="{29EEBAD7-B224-4C8B-AB21-3D3FBFAB4B24}"/>
    <cellStyle name="Normal 2_DEER 032008 Cost Summary Delivery - Rev 4 (2)" xfId="1065" xr:uid="{3DFAFE9D-EFDC-481C-98DA-568594FED196}"/>
    <cellStyle name="Normal 20" xfId="2380" xr:uid="{6D69006D-3EF7-47A7-8B7A-56CF9BB4E3C8}"/>
    <cellStyle name="Normal 21" xfId="2381" xr:uid="{6BDB41C6-A957-41D9-991A-CF1DA2B5EE11}"/>
    <cellStyle name="Normal 22" xfId="2382" xr:uid="{F17112BA-0A64-4808-B745-AB90B059BBAC}"/>
    <cellStyle name="Normal 23" xfId="2383" xr:uid="{3CD8FF39-6C01-437D-95BF-B79A4AB8AA6B}"/>
    <cellStyle name="Normal 24" xfId="2384" xr:uid="{AA3143FE-09DC-4E57-ACB5-CD7E6814D521}"/>
    <cellStyle name="Normal 25" xfId="2499" xr:uid="{9382C472-0972-4CBA-B78A-3BF8B5CFEB32}"/>
    <cellStyle name="Normal 3" xfId="53" xr:uid="{FFCC91E3-287D-468F-8FAD-31BA40577090}"/>
    <cellStyle name="Normal 3 10" xfId="1067" xr:uid="{B002C84D-EF47-4B07-9FA8-E51C506B9391}"/>
    <cellStyle name="Normal 3 10 10" xfId="1068" xr:uid="{A2B5D090-345E-4828-88FF-D4F59D3BBC7B}"/>
    <cellStyle name="Normal 3 10 11" xfId="1069" xr:uid="{30A86033-2B6C-44FA-91E4-8BFB37802F49}"/>
    <cellStyle name="Normal 3 10 12" xfId="1070" xr:uid="{61EE2DC9-5D25-41E4-B428-0AD9F3F1CE45}"/>
    <cellStyle name="Normal 3 10 13" xfId="1071" xr:uid="{09851570-DBA3-4F94-830D-416A11CA3241}"/>
    <cellStyle name="Normal 3 10 14" xfId="1072" xr:uid="{ED7EF177-1A02-4D4D-A75C-3F4FBDB1259B}"/>
    <cellStyle name="Normal 3 10 15" xfId="1073" xr:uid="{8F1D4806-0575-4E52-86F5-48C0F5DB9B32}"/>
    <cellStyle name="Normal 3 10 16" xfId="1074" xr:uid="{4AFF2037-89B7-4F42-B7AE-00ED55A9F470}"/>
    <cellStyle name="Normal 3 10 17" xfId="1075" xr:uid="{3CE0AF7A-CC5D-4417-8D4A-C56DD4A772CC}"/>
    <cellStyle name="Normal 3 10 18" xfId="1076" xr:uid="{589A48F9-B9F8-495C-A94D-A87066DFD214}"/>
    <cellStyle name="Normal 3 10 19" xfId="1077" xr:uid="{93B507B9-9F41-45BB-92D2-463F3CA4EB5D}"/>
    <cellStyle name="Normal 3 10 2" xfId="1078" xr:uid="{AE43BEF4-884B-4959-9F23-E4000351BC04}"/>
    <cellStyle name="Normal 3 10 20" xfId="1079" xr:uid="{060560F4-6E13-4FEB-89B4-2765FFDDE4C2}"/>
    <cellStyle name="Normal 3 10 21" xfId="1080" xr:uid="{3D6D85B3-CB96-4EC1-BD1F-85C0156F1FCF}"/>
    <cellStyle name="Normal 3 10 22" xfId="1081" xr:uid="{0D7AE07B-4AB5-4539-8D3E-CBEAD3DE9B30}"/>
    <cellStyle name="Normal 3 10 23" xfId="1082" xr:uid="{14F81508-1478-40F5-902F-CB08713FAA06}"/>
    <cellStyle name="Normal 3 10 3" xfId="1083" xr:uid="{8302B819-3092-4106-A985-43686FAA2E6F}"/>
    <cellStyle name="Normal 3 10 4" xfId="1084" xr:uid="{864ECF7D-80B1-4076-BB68-44EC6C7DB1AD}"/>
    <cellStyle name="Normal 3 10 5" xfId="1085" xr:uid="{B0AF4C92-70FE-4EA7-A09A-2B2A75FC858D}"/>
    <cellStyle name="Normal 3 10 6" xfId="1086" xr:uid="{C5C83ACA-B549-41E2-9A14-0DB4CEC10AF9}"/>
    <cellStyle name="Normal 3 10 7" xfId="1087" xr:uid="{C17FF0EE-6D0D-4060-B905-15F20B063696}"/>
    <cellStyle name="Normal 3 10 8" xfId="1088" xr:uid="{75C07EEE-8486-4091-8CDC-FC3F3B3C39B0}"/>
    <cellStyle name="Normal 3 10 9" xfId="1089" xr:uid="{66CE77B1-6CE2-47AE-B64F-036A7E77F45B}"/>
    <cellStyle name="Normal 3 11" xfId="1090" xr:uid="{923579ED-42FA-4998-A08B-C9BD6DBBC8E8}"/>
    <cellStyle name="Normal 3 11 10" xfId="1091" xr:uid="{95A010A4-58BB-4BC2-9474-E4B3E4EF2ECB}"/>
    <cellStyle name="Normal 3 11 11" xfId="1092" xr:uid="{522A87B2-E357-4DA1-9905-388D76303F51}"/>
    <cellStyle name="Normal 3 11 12" xfId="1093" xr:uid="{C08CBF44-0DEA-44AE-BAAB-316BDABDC088}"/>
    <cellStyle name="Normal 3 11 13" xfId="1094" xr:uid="{0DB2D886-E656-4CBC-8B98-E322ACAA63C8}"/>
    <cellStyle name="Normal 3 11 14" xfId="1095" xr:uid="{834EB79E-E6FB-49A9-887A-1FFC1C64F821}"/>
    <cellStyle name="Normal 3 11 15" xfId="1096" xr:uid="{C02DCC49-4260-4085-ACED-4E7C772E971F}"/>
    <cellStyle name="Normal 3 11 16" xfId="1097" xr:uid="{331EC5AF-477C-42C2-B16F-D81C385FDE14}"/>
    <cellStyle name="Normal 3 11 17" xfId="1098" xr:uid="{2C409A25-87EB-4177-AE46-FAF9AB9F6D73}"/>
    <cellStyle name="Normal 3 11 18" xfId="1099" xr:uid="{1D4DE125-CB89-4B81-99AD-04AB3DC41BFF}"/>
    <cellStyle name="Normal 3 11 19" xfId="1100" xr:uid="{974ECC5F-7037-4FAF-B00C-2249F5A557AB}"/>
    <cellStyle name="Normal 3 11 2" xfId="1101" xr:uid="{0A3000BC-DAC3-42A9-8754-8C25A799B265}"/>
    <cellStyle name="Normal 3 11 20" xfId="1102" xr:uid="{48ED248F-EAB4-494B-A111-DA82A211F2FB}"/>
    <cellStyle name="Normal 3 11 21" xfId="1103" xr:uid="{30900E21-C583-43D0-B50E-5CF4ACC6FFCD}"/>
    <cellStyle name="Normal 3 11 22" xfId="1104" xr:uid="{339EC1E1-8D30-4CD5-8367-0897338E9429}"/>
    <cellStyle name="Normal 3 11 23" xfId="1105" xr:uid="{2ACC388E-C3AF-4469-9787-6BE0FF142185}"/>
    <cellStyle name="Normal 3 11 24" xfId="2385" xr:uid="{891E833B-6A84-4F0A-B066-7285EC6521CC}"/>
    <cellStyle name="Normal 3 11 3" xfId="1106" xr:uid="{F19F14F9-19CA-4F9C-B461-77784A8EA666}"/>
    <cellStyle name="Normal 3 11 4" xfId="1107" xr:uid="{888E896B-E0A0-47A9-B9A8-4064709FE164}"/>
    <cellStyle name="Normal 3 11 5" xfId="1108" xr:uid="{E76C967F-D199-4A64-86F6-D2439E48FFB7}"/>
    <cellStyle name="Normal 3 11 6" xfId="1109" xr:uid="{96B5D752-0A1D-4C88-9D86-1C27D9285F45}"/>
    <cellStyle name="Normal 3 11 7" xfId="1110" xr:uid="{6C113E45-7634-4EF3-A365-445B7225CBDA}"/>
    <cellStyle name="Normal 3 11 8" xfId="1111" xr:uid="{CCFE5293-76E3-4392-B1B8-8F456397D73C}"/>
    <cellStyle name="Normal 3 11 9" xfId="1112" xr:uid="{A7B666CF-A561-4B5B-94A3-5D4D41E4CF5A}"/>
    <cellStyle name="Normal 3 12" xfId="1113" xr:uid="{88EFD5DD-EAFF-47D3-8275-0845262D5604}"/>
    <cellStyle name="Normal 3 12 10" xfId="1114" xr:uid="{1F82C8B7-F1DC-41CD-9B91-9BF194F56E5A}"/>
    <cellStyle name="Normal 3 12 11" xfId="1115" xr:uid="{8AD96BB9-44F1-4CB6-9B89-1FA9C9CA10AC}"/>
    <cellStyle name="Normal 3 12 12" xfId="1116" xr:uid="{30AC509C-17C0-4644-9EBD-A3AD4C902460}"/>
    <cellStyle name="Normal 3 12 13" xfId="1117" xr:uid="{DBAC82DA-A4BF-47A0-8C3E-905A77BA0FD6}"/>
    <cellStyle name="Normal 3 12 14" xfId="1118" xr:uid="{062CDB9F-8C94-4471-87FC-A9A81F916D13}"/>
    <cellStyle name="Normal 3 12 15" xfId="1119" xr:uid="{26B16D47-2355-409F-A7EB-84B56D2262AF}"/>
    <cellStyle name="Normal 3 12 16" xfId="1120" xr:uid="{6694DFCB-9DE4-4963-AADE-B78F8DEA045C}"/>
    <cellStyle name="Normal 3 12 17" xfId="1121" xr:uid="{4B8966D9-DA4D-4C67-B3CF-AD7A964F63AF}"/>
    <cellStyle name="Normal 3 12 18" xfId="1122" xr:uid="{2B424A32-C0BB-42E6-BE2D-6B3618E46F8E}"/>
    <cellStyle name="Normal 3 12 19" xfId="1123" xr:uid="{E230E723-88F0-4867-B3BE-3FF6894316AB}"/>
    <cellStyle name="Normal 3 12 2" xfId="1124" xr:uid="{B70086F5-EF63-40F5-ACBE-99C4792A4007}"/>
    <cellStyle name="Normal 3 12 20" xfId="1125" xr:uid="{7A83511F-1D56-44FC-9D6A-BABEFF5DEB20}"/>
    <cellStyle name="Normal 3 12 21" xfId="1126" xr:uid="{D09A9D92-443F-4D3E-BBBF-AEFE1914D376}"/>
    <cellStyle name="Normal 3 12 22" xfId="1127" xr:uid="{4C98DE1A-22E5-4A4A-AE6F-F5DD33C072FD}"/>
    <cellStyle name="Normal 3 12 23" xfId="1128" xr:uid="{332C1751-B07F-4DC4-99D5-686B214E54B8}"/>
    <cellStyle name="Normal 3 12 3" xfId="1129" xr:uid="{4DBA7F22-CB17-4814-A5A0-CB9BCBF618E6}"/>
    <cellStyle name="Normal 3 12 4" xfId="1130" xr:uid="{78532F7A-101F-452B-A238-259F60976455}"/>
    <cellStyle name="Normal 3 12 5" xfId="1131" xr:uid="{83CCC6C0-3A11-4F79-9C2C-4DAF266875C0}"/>
    <cellStyle name="Normal 3 12 6" xfId="1132" xr:uid="{8529741D-6713-4EFB-A365-6FD05D8DFE55}"/>
    <cellStyle name="Normal 3 12 7" xfId="1133" xr:uid="{04B0E055-EFA9-45FD-B30C-87A8C00F70B5}"/>
    <cellStyle name="Normal 3 12 8" xfId="1134" xr:uid="{3A9371DD-DF47-42E1-B53D-36DF92B2968D}"/>
    <cellStyle name="Normal 3 12 9" xfId="1135" xr:uid="{0536E2FD-2FD2-49A4-BE34-57A7CB09E518}"/>
    <cellStyle name="Normal 3 13" xfId="1136" xr:uid="{A4AC2E32-7BE1-4BA8-B8C0-2AA2A2037072}"/>
    <cellStyle name="Normal 3 13 10" xfId="1137" xr:uid="{376196BD-15D5-42E9-A095-CF4F21704ECA}"/>
    <cellStyle name="Normal 3 13 11" xfId="1138" xr:uid="{3A22DA01-2A25-4AC3-BA38-425B4192CE9E}"/>
    <cellStyle name="Normal 3 13 12" xfId="1139" xr:uid="{8CC80B4B-9DB9-49CA-A052-21B99EF78948}"/>
    <cellStyle name="Normal 3 13 13" xfId="1140" xr:uid="{F971329D-B57E-47EE-9069-43486F8CEC92}"/>
    <cellStyle name="Normal 3 13 14" xfId="1141" xr:uid="{46D5E933-479F-439D-BC92-DDA03500C360}"/>
    <cellStyle name="Normal 3 13 15" xfId="1142" xr:uid="{D78C44FC-C6E8-4488-915D-AD643C93B9D3}"/>
    <cellStyle name="Normal 3 13 16" xfId="1143" xr:uid="{24C341A7-4E7E-47FC-AD1A-F89FB907F125}"/>
    <cellStyle name="Normal 3 13 17" xfId="1144" xr:uid="{ADFAADA2-2400-4BEB-A41C-7413CAD662BA}"/>
    <cellStyle name="Normal 3 13 18" xfId="1145" xr:uid="{13ECF558-85DD-4067-9CE8-5AB37E548515}"/>
    <cellStyle name="Normal 3 13 19" xfId="1146" xr:uid="{4D6D72B6-D10E-43CC-B8F5-D4055B40F6C3}"/>
    <cellStyle name="Normal 3 13 2" xfId="1147" xr:uid="{735930DB-B9DF-49FB-9A90-4D57FD57F4BF}"/>
    <cellStyle name="Normal 3 13 20" xfId="1148" xr:uid="{2D3C7934-60B7-46C2-A533-BF54F7F5D410}"/>
    <cellStyle name="Normal 3 13 21" xfId="1149" xr:uid="{D3FCA4C8-007D-4DA2-8E93-8C3B69B9DCC4}"/>
    <cellStyle name="Normal 3 13 22" xfId="1150" xr:uid="{C944226F-2F93-45FA-A7E2-43C2AC1101E6}"/>
    <cellStyle name="Normal 3 13 23" xfId="1151" xr:uid="{47BFA46F-BCD7-4451-940B-DEDC9EC0405C}"/>
    <cellStyle name="Normal 3 13 3" xfId="1152" xr:uid="{88262DF8-36BF-4FF3-815C-9446500DDF94}"/>
    <cellStyle name="Normal 3 13 4" xfId="1153" xr:uid="{A425E5EE-1663-45BD-8322-DD3BC7C8D728}"/>
    <cellStyle name="Normal 3 13 5" xfId="1154" xr:uid="{3DA2FEA3-2837-42F4-9AD1-5F6A167CB1A7}"/>
    <cellStyle name="Normal 3 13 6" xfId="1155" xr:uid="{C408AC69-68F0-4BC3-BCEC-91547BD9D708}"/>
    <cellStyle name="Normal 3 13 7" xfId="1156" xr:uid="{175B178A-6741-4FD7-B426-A90D9ED7A673}"/>
    <cellStyle name="Normal 3 13 8" xfId="1157" xr:uid="{86555EDA-6C21-4299-8C1F-0F8100EFBC0E}"/>
    <cellStyle name="Normal 3 13 9" xfId="1158" xr:uid="{20509C9F-C81E-4B98-9566-05035F4C59A3}"/>
    <cellStyle name="Normal 3 14" xfId="1159" xr:uid="{53CAB25C-352F-4DAC-9CE3-9F022541A7DC}"/>
    <cellStyle name="Normal 3 14 10" xfId="1160" xr:uid="{48EE2960-000A-4BCF-84B1-19E4BE82B2F0}"/>
    <cellStyle name="Normal 3 14 11" xfId="1161" xr:uid="{A64C0589-AC7F-42A6-91B0-633597FF7497}"/>
    <cellStyle name="Normal 3 14 12" xfId="1162" xr:uid="{78E794A4-5300-4AA0-86F5-B9654D85B26A}"/>
    <cellStyle name="Normal 3 14 13" xfId="1163" xr:uid="{3E971DD4-A4D2-445B-B5BE-C06C6B65F44F}"/>
    <cellStyle name="Normal 3 14 14" xfId="1164" xr:uid="{D2E84DB8-5BF8-4821-A017-141DE6728E99}"/>
    <cellStyle name="Normal 3 14 15" xfId="1165" xr:uid="{CFCE3A79-6C31-410F-B199-785D65CD569B}"/>
    <cellStyle name="Normal 3 14 16" xfId="1166" xr:uid="{2FCB4C23-7B23-45CF-8F89-79EF019B9E06}"/>
    <cellStyle name="Normal 3 14 17" xfId="1167" xr:uid="{7308E76A-28D6-433B-AD94-968B907617F5}"/>
    <cellStyle name="Normal 3 14 18" xfId="1168" xr:uid="{2E462B0C-87E7-4505-B8F7-9E250189BAA5}"/>
    <cellStyle name="Normal 3 14 19" xfId="1169" xr:uid="{D6377577-569B-43C5-8C7F-A7DDFC90175F}"/>
    <cellStyle name="Normal 3 14 2" xfId="1170" xr:uid="{5D7A9E08-E5D3-4D11-950E-0B138BBD966E}"/>
    <cellStyle name="Normal 3 14 20" xfId="1171" xr:uid="{48B05501-63EC-4353-A3B1-AA21A420BFDF}"/>
    <cellStyle name="Normal 3 14 21" xfId="1172" xr:uid="{6A49F867-C041-41BA-8CAD-C7C53351DDFC}"/>
    <cellStyle name="Normal 3 14 22" xfId="1173" xr:uid="{9FFC4214-16EE-4DB1-95A5-93EFBB0F3A9D}"/>
    <cellStyle name="Normal 3 14 23" xfId="1174" xr:uid="{B7A12BB4-4C42-4C91-801F-E0F6EE9F7511}"/>
    <cellStyle name="Normal 3 14 24" xfId="2386" xr:uid="{12CDB1B7-9F77-4659-8112-55C30D9AA87E}"/>
    <cellStyle name="Normal 3 14 3" xfId="1175" xr:uid="{430F2431-2CDE-4A8D-B9E2-B9DF72FF1C35}"/>
    <cellStyle name="Normal 3 14 4" xfId="1176" xr:uid="{D56433B9-CE6F-4A7A-B62D-BD4DAE174443}"/>
    <cellStyle name="Normal 3 14 5" xfId="1177" xr:uid="{25CDD988-4C71-4A70-9075-A512BEC0F85E}"/>
    <cellStyle name="Normal 3 14 6" xfId="1178" xr:uid="{824BAEB7-0758-4826-826F-7987F3E43A3B}"/>
    <cellStyle name="Normal 3 14 7" xfId="1179" xr:uid="{F85CDFBE-4C2A-4AF1-A6A2-88089A20A78C}"/>
    <cellStyle name="Normal 3 14 8" xfId="1180" xr:uid="{73B5BAE9-C960-4DA6-B5CD-B5922532E381}"/>
    <cellStyle name="Normal 3 14 9" xfId="1181" xr:uid="{69BCF9B8-A282-4B04-9AFD-08FA30EE2EFC}"/>
    <cellStyle name="Normal 3 15" xfId="1182" xr:uid="{247F045F-263A-4195-94AF-2B3DBE47C7EC}"/>
    <cellStyle name="Normal 3 15 10" xfId="1183" xr:uid="{A5BCC1EA-823B-4337-8770-F1CF4699D761}"/>
    <cellStyle name="Normal 3 15 11" xfId="1184" xr:uid="{A09F33A2-E695-41D2-B486-7A84D2875769}"/>
    <cellStyle name="Normal 3 15 12" xfId="1185" xr:uid="{E8093F0E-FE07-45FE-B836-DD42B69186D6}"/>
    <cellStyle name="Normal 3 15 13" xfId="1186" xr:uid="{66069885-CE13-4CE3-A38E-CA4AF761E97E}"/>
    <cellStyle name="Normal 3 15 14" xfId="1187" xr:uid="{2DCBB437-1597-4459-B44E-F14E1A980A60}"/>
    <cellStyle name="Normal 3 15 15" xfId="1188" xr:uid="{B405DD23-2116-425C-AAA1-EDEC91B015E5}"/>
    <cellStyle name="Normal 3 15 16" xfId="1189" xr:uid="{0A7E0D83-6F13-494B-A731-549BD03F6A45}"/>
    <cellStyle name="Normal 3 15 17" xfId="1190" xr:uid="{D5A274C1-2B99-4850-9A83-C610470C1F36}"/>
    <cellStyle name="Normal 3 15 18" xfId="1191" xr:uid="{9DAE44D6-3DCD-4CC4-8E80-338D662F5B45}"/>
    <cellStyle name="Normal 3 15 19" xfId="1192" xr:uid="{6374A678-BBB1-4298-B518-497576E780AB}"/>
    <cellStyle name="Normal 3 15 2" xfId="1193" xr:uid="{E59510B6-B5A0-4C1F-BDC0-1520512E2C81}"/>
    <cellStyle name="Normal 3 15 20" xfId="1194" xr:uid="{152EF883-6E3A-4F49-81A8-166E04C4AFB1}"/>
    <cellStyle name="Normal 3 15 21" xfId="1195" xr:uid="{D3535F59-7602-45BE-80F7-6BF8C260A950}"/>
    <cellStyle name="Normal 3 15 22" xfId="1196" xr:uid="{4BB47DB8-4B89-465D-B4ED-8BCC78BB2274}"/>
    <cellStyle name="Normal 3 15 23" xfId="1197" xr:uid="{F827EC33-CA65-41DC-AD49-85E3666061D1}"/>
    <cellStyle name="Normal 3 15 3" xfId="1198" xr:uid="{649AC1F5-FCED-4427-B826-D6086531FE0F}"/>
    <cellStyle name="Normal 3 15 4" xfId="1199" xr:uid="{8BCE779B-835F-46A3-BAB9-08F875921105}"/>
    <cellStyle name="Normal 3 15 5" xfId="1200" xr:uid="{5343255C-513D-45E7-840C-10F39D1D1F82}"/>
    <cellStyle name="Normal 3 15 6" xfId="1201" xr:uid="{8CCD6530-845E-431C-9294-13183237F9FB}"/>
    <cellStyle name="Normal 3 15 7" xfId="1202" xr:uid="{EBE04AB1-5FF4-43D7-A1B0-B2C5B405B369}"/>
    <cellStyle name="Normal 3 15 8" xfId="1203" xr:uid="{9A331129-1BC7-497A-8309-44A35C21814B}"/>
    <cellStyle name="Normal 3 15 9" xfId="1204" xr:uid="{903E29C8-6789-4519-8193-0F87E5CD7630}"/>
    <cellStyle name="Normal 3 16" xfId="1205" xr:uid="{9E72BFE5-4FBB-415B-8EB6-402B2CE8D753}"/>
    <cellStyle name="Normal 3 16 10" xfId="1206" xr:uid="{2ADE71DF-9824-4571-A2D0-B59FFE7C9EF0}"/>
    <cellStyle name="Normal 3 16 11" xfId="1207" xr:uid="{F9B23300-59F5-470A-AD96-BB6323166588}"/>
    <cellStyle name="Normal 3 16 12" xfId="1208" xr:uid="{729B538E-3063-4005-AC92-3E6E85D46E3A}"/>
    <cellStyle name="Normal 3 16 13" xfId="1209" xr:uid="{B21517B0-38F1-4B66-A63A-EA3E19EA98B1}"/>
    <cellStyle name="Normal 3 16 14" xfId="1210" xr:uid="{B191C80D-57E3-4A1F-9D2B-37C2D8AC09E4}"/>
    <cellStyle name="Normal 3 16 15" xfId="1211" xr:uid="{FCEBDEEA-1D88-4F4A-AF0C-152819DA847D}"/>
    <cellStyle name="Normal 3 16 16" xfId="1212" xr:uid="{55DB70C8-E3D2-4C42-B029-3AD445357BD0}"/>
    <cellStyle name="Normal 3 16 17" xfId="1213" xr:uid="{64E8AB2D-88C2-4107-9C96-2E341F2456BD}"/>
    <cellStyle name="Normal 3 16 18" xfId="1214" xr:uid="{2337CC09-1028-41F0-AB39-9BE230405445}"/>
    <cellStyle name="Normal 3 16 19" xfId="1215" xr:uid="{F0AF99AE-33B8-4EB6-830D-BA49EEAA288B}"/>
    <cellStyle name="Normal 3 16 2" xfId="1216" xr:uid="{90A42AD6-7D2E-4ECA-8494-0F757834C378}"/>
    <cellStyle name="Normal 3 16 20" xfId="1217" xr:uid="{60573673-BD0F-45FD-A292-7C163DFD4530}"/>
    <cellStyle name="Normal 3 16 21" xfId="1218" xr:uid="{339D5B6E-49B8-461C-BEC2-6F43F2C4A10C}"/>
    <cellStyle name="Normal 3 16 22" xfId="1219" xr:uid="{A86199F4-B8BA-4D1B-B4F3-7310A1A138B3}"/>
    <cellStyle name="Normal 3 16 23" xfId="1220" xr:uid="{B357B467-27A3-4FCE-9CB4-DACC85437320}"/>
    <cellStyle name="Normal 3 16 3" xfId="1221" xr:uid="{4B59458E-513E-4915-AF8A-61D68D252A05}"/>
    <cellStyle name="Normal 3 16 4" xfId="1222" xr:uid="{67B1FD10-91B5-443E-B24F-A70C662B9310}"/>
    <cellStyle name="Normal 3 16 5" xfId="1223" xr:uid="{3137FB5B-9E37-4B41-87E8-536B9CF2DF53}"/>
    <cellStyle name="Normal 3 16 6" xfId="1224" xr:uid="{CEF52F39-3438-4B39-BF7A-7CDED88DDD71}"/>
    <cellStyle name="Normal 3 16 7" xfId="1225" xr:uid="{3F3FE0D9-1500-4159-BC8D-930031E51F44}"/>
    <cellStyle name="Normal 3 16 8" xfId="1226" xr:uid="{A5F6A02A-5BBF-4788-A94E-5808EC1B2E7B}"/>
    <cellStyle name="Normal 3 16 9" xfId="1227" xr:uid="{47E22995-32D8-47CD-89C6-4D1DF423F7D7}"/>
    <cellStyle name="Normal 3 17" xfId="1228" xr:uid="{467F1ACB-31BE-42CD-8B58-6D0FF05FDC1C}"/>
    <cellStyle name="Normal 3 17 10" xfId="1229" xr:uid="{C7988BFF-7B95-477A-A4A2-69F8CCC6A4DA}"/>
    <cellStyle name="Normal 3 17 11" xfId="1230" xr:uid="{7F36408D-F98F-484A-B718-02ADA0AD02C1}"/>
    <cellStyle name="Normal 3 17 12" xfId="1231" xr:uid="{4C0C7B04-F385-40A1-8052-F648A443E001}"/>
    <cellStyle name="Normal 3 17 13" xfId="1232" xr:uid="{CD7B554F-F0C7-4293-9448-0E48F17D8F84}"/>
    <cellStyle name="Normal 3 17 14" xfId="1233" xr:uid="{87DFC7BF-F538-4811-970C-D4D1527BDA49}"/>
    <cellStyle name="Normal 3 17 15" xfId="1234" xr:uid="{9D498E09-6619-4D0C-99D7-EAFDE0CBDAA1}"/>
    <cellStyle name="Normal 3 17 16" xfId="1235" xr:uid="{1EFCBB95-2992-469F-97FB-C904A9E6E9A7}"/>
    <cellStyle name="Normal 3 17 17" xfId="1236" xr:uid="{AD43C253-90FA-4CE3-A636-22A1B1B7B507}"/>
    <cellStyle name="Normal 3 17 18" xfId="1237" xr:uid="{15F8EAD2-293D-4BA6-85BF-09DCA12E41D6}"/>
    <cellStyle name="Normal 3 17 19" xfId="1238" xr:uid="{7120B30D-94F5-4510-87BB-5343D23C16FF}"/>
    <cellStyle name="Normal 3 17 2" xfId="1239" xr:uid="{3A6D8979-3D73-4774-AE3E-1F28C7121A30}"/>
    <cellStyle name="Normal 3 17 20" xfId="1240" xr:uid="{B521E82A-D2BF-424D-B3DB-A1EF9FEAF351}"/>
    <cellStyle name="Normal 3 17 21" xfId="1241" xr:uid="{3A060948-0788-4BF0-BC7D-8740242A3D01}"/>
    <cellStyle name="Normal 3 17 22" xfId="1242" xr:uid="{77D23834-A11E-48FC-A183-596AD2CD90FE}"/>
    <cellStyle name="Normal 3 17 23" xfId="1243" xr:uid="{7E1D1A14-6610-436D-BAE1-D9F6B3DEBFE8}"/>
    <cellStyle name="Normal 3 17 3" xfId="1244" xr:uid="{02C42080-F093-4343-AA91-B3EAB980D1FE}"/>
    <cellStyle name="Normal 3 17 4" xfId="1245" xr:uid="{D053ADD5-D9BA-4235-A2C7-CDA259AF2329}"/>
    <cellStyle name="Normal 3 17 5" xfId="1246" xr:uid="{8C80DF31-A457-49B6-B594-1BCF5A7D4950}"/>
    <cellStyle name="Normal 3 17 6" xfId="1247" xr:uid="{9C459627-3A74-4749-AC9B-ACE37B173569}"/>
    <cellStyle name="Normal 3 17 7" xfId="1248" xr:uid="{EDE0D0DE-D0DB-4ACB-8F16-6427BFE20DA5}"/>
    <cellStyle name="Normal 3 17 8" xfId="1249" xr:uid="{1832A1A9-684C-4AE9-907B-5B0107229A94}"/>
    <cellStyle name="Normal 3 17 9" xfId="1250" xr:uid="{C78C34FF-E66A-43D0-A31D-50FD01153838}"/>
    <cellStyle name="Normal 3 18" xfId="1251" xr:uid="{38E6702E-AAE6-4318-BE25-7FDD1C5F831B}"/>
    <cellStyle name="Normal 3 18 10" xfId="1252" xr:uid="{B8157355-7659-410C-9B58-BA75CD9CA575}"/>
    <cellStyle name="Normal 3 18 11" xfId="1253" xr:uid="{6856F4E8-E34F-4257-AB3B-F3D6D6D8F48A}"/>
    <cellStyle name="Normal 3 18 12" xfId="1254" xr:uid="{23777F77-27D4-4991-BBEC-A69275A35995}"/>
    <cellStyle name="Normal 3 18 13" xfId="1255" xr:uid="{8DA22C1E-2630-415E-A019-A52D68A5D34B}"/>
    <cellStyle name="Normal 3 18 14" xfId="1256" xr:uid="{B0F6894E-5005-44AE-A8A4-617C0A9A1871}"/>
    <cellStyle name="Normal 3 18 15" xfId="1257" xr:uid="{7B728F56-62AC-48DD-8677-46937CD93C0D}"/>
    <cellStyle name="Normal 3 18 16" xfId="1258" xr:uid="{16CF4EDA-DA95-46B4-8698-1A1707EDD7FA}"/>
    <cellStyle name="Normal 3 18 17" xfId="1259" xr:uid="{6ED91EB9-290A-4A57-9C6C-F2A8CB24AEE7}"/>
    <cellStyle name="Normal 3 18 18" xfId="1260" xr:uid="{AFD6C9FB-A399-4BD0-AF19-869B5523555A}"/>
    <cellStyle name="Normal 3 18 19" xfId="1261" xr:uid="{B5785DED-2B6F-4806-81BF-A108A8F6C644}"/>
    <cellStyle name="Normal 3 18 2" xfId="1262" xr:uid="{73A748CD-5A5E-4E83-8827-0856F7F7E1E0}"/>
    <cellStyle name="Normal 3 18 20" xfId="1263" xr:uid="{0418DDF2-878C-4EA4-A59B-2BD42BD687C7}"/>
    <cellStyle name="Normal 3 18 21" xfId="1264" xr:uid="{23401AFD-02B9-4B95-9968-8692FF2DA78E}"/>
    <cellStyle name="Normal 3 18 22" xfId="1265" xr:uid="{C7C3AC75-1A41-41CC-9565-ABD9F62471BC}"/>
    <cellStyle name="Normal 3 18 23" xfId="1266" xr:uid="{499DA641-C4A7-44BD-B3E1-62D0FAAAAAE1}"/>
    <cellStyle name="Normal 3 18 3" xfId="1267" xr:uid="{E0A5196F-4758-4F3E-A6D8-6512CAF483B1}"/>
    <cellStyle name="Normal 3 18 4" xfId="1268" xr:uid="{727B5D02-FD89-4D1E-9BF7-6570AED04E01}"/>
    <cellStyle name="Normal 3 18 5" xfId="1269" xr:uid="{A41F96C5-FDB0-4E96-87EC-29BBE5C5520A}"/>
    <cellStyle name="Normal 3 18 6" xfId="1270" xr:uid="{3B6A3277-53DA-4AB3-868C-5AFDF3BFBD4A}"/>
    <cellStyle name="Normal 3 18 7" xfId="1271" xr:uid="{08ADD5E5-FB2C-4004-A88F-B3E5DF951F7C}"/>
    <cellStyle name="Normal 3 18 8" xfId="1272" xr:uid="{2FE8596C-8DE4-4B8F-9432-DB6C40F81A1E}"/>
    <cellStyle name="Normal 3 18 9" xfId="1273" xr:uid="{79387984-538E-4CAC-A56C-89AD65A72020}"/>
    <cellStyle name="Normal 3 19" xfId="1274" xr:uid="{BAECD7AB-1185-4941-8D75-F9BB0FDFC1C6}"/>
    <cellStyle name="Normal 3 19 10" xfId="1275" xr:uid="{0742B4B5-D9AB-4C6C-8F32-83426492D131}"/>
    <cellStyle name="Normal 3 19 11" xfId="1276" xr:uid="{89369972-6516-485D-901F-A00F28CC11C5}"/>
    <cellStyle name="Normal 3 19 12" xfId="1277" xr:uid="{15A652B6-27F2-4119-A116-8202E68C8362}"/>
    <cellStyle name="Normal 3 19 13" xfId="1278" xr:uid="{6CFBC866-AB4B-4E0A-BC83-6EB2E1894B43}"/>
    <cellStyle name="Normal 3 19 14" xfId="1279" xr:uid="{00D2ADDE-4B5D-48A4-9326-07B8C6B9BBF1}"/>
    <cellStyle name="Normal 3 19 15" xfId="1280" xr:uid="{CD61CD6A-FCA6-43A6-82A4-982916385779}"/>
    <cellStyle name="Normal 3 19 16" xfId="1281" xr:uid="{9E83E067-3958-4AAA-9204-45753C81D5E7}"/>
    <cellStyle name="Normal 3 19 17" xfId="1282" xr:uid="{4BAF0A85-8C78-4713-908F-CC6CFC215918}"/>
    <cellStyle name="Normal 3 19 18" xfId="1283" xr:uid="{AD760929-D4C6-4EF6-A3A1-F1F5B3CFAEBA}"/>
    <cellStyle name="Normal 3 19 19" xfId="1284" xr:uid="{979EF288-D5D4-4ABE-BD6D-9502DB6516EA}"/>
    <cellStyle name="Normal 3 19 2" xfId="1285" xr:uid="{013F1267-D224-460E-BB61-82ED8C18206C}"/>
    <cellStyle name="Normal 3 19 20" xfId="1286" xr:uid="{377D96F7-D0A3-43E1-BB57-9878F620FE6F}"/>
    <cellStyle name="Normal 3 19 21" xfId="1287" xr:uid="{6BFD4BAA-6C94-483D-943A-6FB32B8286F2}"/>
    <cellStyle name="Normal 3 19 22" xfId="1288" xr:uid="{9D29BB11-5C5A-4639-AE64-62C57129727E}"/>
    <cellStyle name="Normal 3 19 23" xfId="1289" xr:uid="{FD32A52B-89C0-4AFE-BE51-DC9E4E19C854}"/>
    <cellStyle name="Normal 3 19 3" xfId="1290" xr:uid="{263B18A4-DB8B-42E9-8284-80ABF3E19446}"/>
    <cellStyle name="Normal 3 19 4" xfId="1291" xr:uid="{A089B2EE-0D33-4F82-9DAB-A3B560B58621}"/>
    <cellStyle name="Normal 3 19 5" xfId="1292" xr:uid="{91BAB18C-B975-4FC5-8CE9-A10CA14383D1}"/>
    <cellStyle name="Normal 3 19 6" xfId="1293" xr:uid="{8F196317-A078-4065-92BF-6D2385863ABB}"/>
    <cellStyle name="Normal 3 19 7" xfId="1294" xr:uid="{61C1C73E-B38F-41A2-B2F2-71A6CA526665}"/>
    <cellStyle name="Normal 3 19 8" xfId="1295" xr:uid="{32BEFECB-1E52-481C-AE24-5C2D2CD0299C}"/>
    <cellStyle name="Normal 3 19 9" xfId="1296" xr:uid="{63313940-9EA2-4D94-BB5C-6FF55E59528C}"/>
    <cellStyle name="Normal 3 2" xfId="1297" xr:uid="{4DB28D58-1A15-4C30-97FD-D36BC7ABA289}"/>
    <cellStyle name="Normal 3 2 10" xfId="1298" xr:uid="{A2DD5608-790C-43DB-8206-54E5711EE450}"/>
    <cellStyle name="Normal 3 2 11" xfId="1299" xr:uid="{0D0FF62D-13EB-4C1F-B9F4-BF91D68A9534}"/>
    <cellStyle name="Normal 3 2 12" xfId="1300" xr:uid="{BDC7A901-3648-474B-93BC-F50802176878}"/>
    <cellStyle name="Normal 3 2 13" xfId="1301" xr:uid="{05EDFB2B-FB26-4E35-843C-74525F41948D}"/>
    <cellStyle name="Normal 3 2 14" xfId="1302" xr:uid="{D20AC5A7-5665-4762-AE71-601862FB42CB}"/>
    <cellStyle name="Normal 3 2 15" xfId="1303" xr:uid="{28B4BA74-4076-4377-A231-D93B6C7B47AF}"/>
    <cellStyle name="Normal 3 2 16" xfId="1304" xr:uid="{A5E1C3A3-B1C9-49B7-B649-9755CBD43C88}"/>
    <cellStyle name="Normal 3 2 17" xfId="1305" xr:uid="{10158ADE-3711-472F-AC91-8A6CBD377664}"/>
    <cellStyle name="Normal 3 2 18" xfId="1306" xr:uid="{C8DFC646-67E0-4773-A8BF-4FEEB38DB00F}"/>
    <cellStyle name="Normal 3 2 19" xfId="1307" xr:uid="{A7D5C156-0049-436D-9F5F-53A67AAC8235}"/>
    <cellStyle name="Normal 3 2 2" xfId="1308" xr:uid="{16D59CC1-1739-4BD0-8EBB-93D1AAEC11B4}"/>
    <cellStyle name="Normal 3 2 2 10" xfId="1309" xr:uid="{54E5FAFD-56A9-4311-B480-6F45B69FEDF0}"/>
    <cellStyle name="Normal 3 2 2 11" xfId="1310" xr:uid="{24956344-BA66-462E-A574-26A169DBF62E}"/>
    <cellStyle name="Normal 3 2 2 12" xfId="1311" xr:uid="{1EC87149-80A2-454C-BB39-0DBE6C42571B}"/>
    <cellStyle name="Normal 3 2 2 13" xfId="1312" xr:uid="{18DFF7FF-0239-4255-93CD-49505E50E30C}"/>
    <cellStyle name="Normal 3 2 2 14" xfId="1313" xr:uid="{B55268E1-6B75-44CC-A5E4-C2360410B613}"/>
    <cellStyle name="Normal 3 2 2 15" xfId="1314" xr:uid="{A6CE2278-CED0-4F00-BBBC-6E35F21FDC2A}"/>
    <cellStyle name="Normal 3 2 2 16" xfId="1315" xr:uid="{EC6753E4-EF64-4075-B457-1C0A6A5B899A}"/>
    <cellStyle name="Normal 3 2 2 17" xfId="1316" xr:uid="{797DABA1-0869-4114-8973-B21CC803079A}"/>
    <cellStyle name="Normal 3 2 2 18" xfId="1317" xr:uid="{1E5D6685-98BA-4B36-A340-2E4C13DA2BD8}"/>
    <cellStyle name="Normal 3 2 2 19" xfId="1318" xr:uid="{55A1F31A-C8D6-45A9-ACFA-D8D3064F5C3B}"/>
    <cellStyle name="Normal 3 2 2 2" xfId="1319" xr:uid="{F08989C2-0790-4979-885C-59E006E30FC1}"/>
    <cellStyle name="Normal 3 2 2 20" xfId="1320" xr:uid="{58F252F7-5EFC-4923-9B00-645E2B668C5A}"/>
    <cellStyle name="Normal 3 2 2 21" xfId="1321" xr:uid="{ACAB5EC8-95C3-48E7-BD80-0015910E15B6}"/>
    <cellStyle name="Normal 3 2 2 22" xfId="1322" xr:uid="{BE6FA7A7-B2A0-4CD4-8CE2-6927DF09ED05}"/>
    <cellStyle name="Normal 3 2 2 23" xfId="1323" xr:uid="{A4158865-2DC1-4650-B4FF-A1CEAEE0F77B}"/>
    <cellStyle name="Normal 3 2 2 24" xfId="1324" xr:uid="{530D2E11-C295-4F13-AD9B-BED44D3A9673}"/>
    <cellStyle name="Normal 3 2 2 25" xfId="1325" xr:uid="{02C9759E-F85D-49EF-9A0D-DB60B0420B58}"/>
    <cellStyle name="Normal 3 2 2 26" xfId="1326" xr:uid="{4E1CED93-E68C-46E6-8481-21F4706DC733}"/>
    <cellStyle name="Normal 3 2 2 27" xfId="1327" xr:uid="{A5C62EE0-F216-4FCF-A72C-22A6C688FE88}"/>
    <cellStyle name="Normal 3 2 2 28" xfId="1328" xr:uid="{D934A8D2-B072-4239-84FC-EAE90A02F4B8}"/>
    <cellStyle name="Normal 3 2 2 29" xfId="1329" xr:uid="{E32A1072-5A14-400A-9325-CEDBD6344B03}"/>
    <cellStyle name="Normal 3 2 2 3" xfId="1330" xr:uid="{9FC3C054-DDFC-4009-AACF-4D4C47D37664}"/>
    <cellStyle name="Normal 3 2 2 30" xfId="1331" xr:uid="{0BC299A8-5F72-436D-B607-26962165BB64}"/>
    <cellStyle name="Normal 3 2 2 31" xfId="1332" xr:uid="{87C37DE5-BF3A-475C-8EB4-67DD2D6704ED}"/>
    <cellStyle name="Normal 3 2 2 32" xfId="1333" xr:uid="{63F2C778-3EBA-4739-A6CD-CD63986372D6}"/>
    <cellStyle name="Normal 3 2 2 33" xfId="1334" xr:uid="{69087716-7618-4BCC-AA32-A6D183226425}"/>
    <cellStyle name="Normal 3 2 2 4" xfId="1335" xr:uid="{5DFF4C4C-E9E9-46D4-A361-20125005560A}"/>
    <cellStyle name="Normal 3 2 2 5" xfId="1336" xr:uid="{3BD6F2AD-3A48-458D-BF8D-E236AB9436B7}"/>
    <cellStyle name="Normal 3 2 2 6" xfId="1337" xr:uid="{161E8803-0C24-4617-955B-B06F6FC0133C}"/>
    <cellStyle name="Normal 3 2 2 7" xfId="1338" xr:uid="{0358B46B-A906-4AA6-AEB2-AF3E9C429317}"/>
    <cellStyle name="Normal 3 2 2 8" xfId="1339" xr:uid="{F7BCF92E-885F-4BC1-9D1E-8F9EC16ABE96}"/>
    <cellStyle name="Normal 3 2 2 9" xfId="1340" xr:uid="{A415C612-944D-4D65-B8F0-137FCA63738C}"/>
    <cellStyle name="Normal 3 2 20" xfId="1341" xr:uid="{A4438838-347C-4AB4-9897-BD97782F4391}"/>
    <cellStyle name="Normal 3 2 21" xfId="1342" xr:uid="{FB3B9C8A-AA5F-4D08-B11C-185DE0CCE43E}"/>
    <cellStyle name="Normal 3 2 22" xfId="1343" xr:uid="{7352F6F2-050B-4954-B223-52BEED35A410}"/>
    <cellStyle name="Normal 3 2 23" xfId="1344" xr:uid="{56CFB9FB-1170-460A-BAC4-00689129E637}"/>
    <cellStyle name="Normal 3 2 24" xfId="1345" xr:uid="{5E4CEBF8-68C4-4D12-8800-B2B4841E2B12}"/>
    <cellStyle name="Normal 3 2 25" xfId="1346" xr:uid="{C71C4AD7-CC1F-43B6-85C9-9317B7FC43CF}"/>
    <cellStyle name="Normal 3 2 26" xfId="1347" xr:uid="{5F494213-F665-4940-A219-F434E876C313}"/>
    <cellStyle name="Normal 3 2 27" xfId="1348" xr:uid="{42805E2B-AD46-460E-812C-BCC25E7067C4}"/>
    <cellStyle name="Normal 3 2 28" xfId="1349" xr:uid="{D28D410C-D620-4033-A1E9-7CAF2759E20D}"/>
    <cellStyle name="Normal 3 2 29" xfId="1350" xr:uid="{5E6C01AB-3DF2-4AA2-A0AD-210FD91777DC}"/>
    <cellStyle name="Normal 3 2 3" xfId="1351" xr:uid="{45055941-6479-446B-B7B9-90CF15B77C3A}"/>
    <cellStyle name="Normal 3 2 30" xfId="1352" xr:uid="{F16FE200-686F-45A1-8066-AE507B2D8823}"/>
    <cellStyle name="Normal 3 2 31" xfId="1353" xr:uid="{C928020D-3609-492C-84B4-61D4BE9377CC}"/>
    <cellStyle name="Normal 3 2 32" xfId="1354" xr:uid="{388A7EBA-81EC-4E1A-A590-BE67E131E404}"/>
    <cellStyle name="Normal 3 2 33" xfId="1355" xr:uid="{C6F2DBC4-3BD2-4646-A000-841EE2917FB7}"/>
    <cellStyle name="Normal 3 2 34" xfId="1356" xr:uid="{C5A34DF4-493F-484B-BBAD-AF23AA18A4BE}"/>
    <cellStyle name="Normal 3 2 35" xfId="1357" xr:uid="{847E790E-795E-48F8-9CD3-24321FA0CD70}"/>
    <cellStyle name="Normal 3 2 36" xfId="1358" xr:uid="{AA75C505-2378-499B-BD2F-FAC40A6A9DEE}"/>
    <cellStyle name="Normal 3 2 37" xfId="1359" xr:uid="{0F0F0E7E-365C-4689-97E5-5CED60D8FACF}"/>
    <cellStyle name="Normal 3 2 38" xfId="1360" xr:uid="{72EC4AB3-BFAF-4F0D-A941-9273E20D2E82}"/>
    <cellStyle name="Normal 3 2 39" xfId="1361" xr:uid="{7B52B914-0075-4AD9-917C-A011C670DDC1}"/>
    <cellStyle name="Normal 3 2 4" xfId="1362" xr:uid="{FD331CD7-58CE-4167-A1D1-C6827FDD4745}"/>
    <cellStyle name="Normal 3 2 40" xfId="1363" xr:uid="{1A5AC37F-1F45-4687-B399-EDDF6D1AFDA3}"/>
    <cellStyle name="Normal 3 2 41" xfId="1364" xr:uid="{99984DD7-875A-498B-BBC0-091D6B4E2147}"/>
    <cellStyle name="Normal 3 2 42" xfId="1365" xr:uid="{3362C628-ABA3-4FAE-8440-7B09DFCA1D94}"/>
    <cellStyle name="Normal 3 2 43" xfId="1366" xr:uid="{82E51C55-240E-418A-A02D-B3771A6FF062}"/>
    <cellStyle name="Normal 3 2 44" xfId="1367" xr:uid="{18D2BE0A-3D7D-480F-8592-FAB0804DFF6C}"/>
    <cellStyle name="Normal 3 2 45" xfId="1368" xr:uid="{7C8D33D2-88EA-4950-A4A1-ABC3A8A0350A}"/>
    <cellStyle name="Normal 3 2 46" xfId="1369" xr:uid="{914DBBE8-F1DD-49C9-A55B-AF9FFBF6B0D9}"/>
    <cellStyle name="Normal 3 2 47" xfId="1370" xr:uid="{77534596-1155-4ACB-B44F-7FDA8E4A147D}"/>
    <cellStyle name="Normal 3 2 48" xfId="1371" xr:uid="{596DC0C5-2203-4B18-98D3-BD144B35F372}"/>
    <cellStyle name="Normal 3 2 49" xfId="1372" xr:uid="{5E2DDC73-EA5C-492F-814C-CB424F07A17E}"/>
    <cellStyle name="Normal 3 2 5" xfId="1373" xr:uid="{C6E83C27-3ED5-461E-B7B4-52512303F0B5}"/>
    <cellStyle name="Normal 3 2 50" xfId="1374" xr:uid="{DA512327-40EC-4602-8544-B9EEE71B7533}"/>
    <cellStyle name="Normal 3 2 51" xfId="1375" xr:uid="{76A83416-8C26-4692-998B-276A68C41D02}"/>
    <cellStyle name="Normal 3 2 52" xfId="1376" xr:uid="{361CCE55-7E7A-443D-9B5F-B6959CAA5288}"/>
    <cellStyle name="Normal 3 2 53" xfId="1377" xr:uid="{E37DD7DF-8283-4613-92F0-76102A6D9782}"/>
    <cellStyle name="Normal 3 2 54" xfId="1378" xr:uid="{D034CDAE-52C9-47DE-8AB4-AFCF4D20AB07}"/>
    <cellStyle name="Normal 3 2 55" xfId="1379" xr:uid="{0781CF42-23A4-4C03-B4B2-262AB64B9076}"/>
    <cellStyle name="Normal 3 2 56" xfId="2387" xr:uid="{6442560D-89EB-44C9-AF27-AD303B01F397}"/>
    <cellStyle name="Normal 3 2 6" xfId="1380" xr:uid="{50EB764E-9BA1-4114-AE5D-A9B7C3814C1A}"/>
    <cellStyle name="Normal 3 2 7" xfId="1381" xr:uid="{461E652A-7EE2-41BE-BF7B-7BB044C6F4A7}"/>
    <cellStyle name="Normal 3 2 8" xfId="1382" xr:uid="{971649A4-1580-497F-8368-42B0C515F2C9}"/>
    <cellStyle name="Normal 3 2 9" xfId="1383" xr:uid="{A2BB0191-1478-4A28-8689-183FDB76FB75}"/>
    <cellStyle name="Normal 3 20" xfId="1384" xr:uid="{1CFA1633-D796-4087-9A80-9C03637101E0}"/>
    <cellStyle name="Normal 3 20 10" xfId="1385" xr:uid="{7D07FF71-E427-48F4-93BC-1FD0AA4049E6}"/>
    <cellStyle name="Normal 3 20 11" xfId="1386" xr:uid="{1C7646D8-BCAE-44F5-8107-E7082872BA90}"/>
    <cellStyle name="Normal 3 20 12" xfId="1387" xr:uid="{51CEA138-5184-4B30-80A4-C0D4C9C1064D}"/>
    <cellStyle name="Normal 3 20 13" xfId="1388" xr:uid="{C084B670-00A8-4CE7-B9D2-B1A1582723E8}"/>
    <cellStyle name="Normal 3 20 14" xfId="1389" xr:uid="{A7FE934A-591E-4441-9195-4638D061D340}"/>
    <cellStyle name="Normal 3 20 15" xfId="1390" xr:uid="{25949448-0F01-44E6-A9E8-88F293A12145}"/>
    <cellStyle name="Normal 3 20 16" xfId="1391" xr:uid="{3B785B7A-98FB-412E-B914-075A53F1E698}"/>
    <cellStyle name="Normal 3 20 17" xfId="1392" xr:uid="{54092A74-7E09-4C4E-945A-0D88C5591EB3}"/>
    <cellStyle name="Normal 3 20 18" xfId="1393" xr:uid="{2737FECD-125A-49A0-848C-6D209C3388C8}"/>
    <cellStyle name="Normal 3 20 19" xfId="1394" xr:uid="{48B4CA60-2AE4-4EC7-9767-70D9BC858629}"/>
    <cellStyle name="Normal 3 20 2" xfId="1395" xr:uid="{0BB99CAC-40AC-49E0-AF66-08FB795684B9}"/>
    <cellStyle name="Normal 3 20 20" xfId="1396" xr:uid="{06E45A5A-2E88-4C15-B9E7-D65CC39E7D48}"/>
    <cellStyle name="Normal 3 20 21" xfId="1397" xr:uid="{3D2C944E-BCB7-4FDB-8101-ABFB18560862}"/>
    <cellStyle name="Normal 3 20 22" xfId="1398" xr:uid="{07FEE047-D365-42F7-BB8C-742805F73454}"/>
    <cellStyle name="Normal 3 20 23" xfId="1399" xr:uid="{17DD95E9-E163-4A94-8929-476DFB342676}"/>
    <cellStyle name="Normal 3 20 3" xfId="1400" xr:uid="{176D68B3-4934-4615-A7CF-B1C039045B82}"/>
    <cellStyle name="Normal 3 20 4" xfId="1401" xr:uid="{2615C70D-7127-4481-B0A1-16033A1A8B92}"/>
    <cellStyle name="Normal 3 20 5" xfId="1402" xr:uid="{9D1B46D2-376E-45DF-956A-B0EF7C4177D8}"/>
    <cellStyle name="Normal 3 20 6" xfId="1403" xr:uid="{54BDE6AC-55A0-44B6-9432-F21FED805DA6}"/>
    <cellStyle name="Normal 3 20 7" xfId="1404" xr:uid="{4840B705-66B0-4FBA-A7A5-149C5145CD16}"/>
    <cellStyle name="Normal 3 20 8" xfId="1405" xr:uid="{589FE9F2-ED36-4C40-A82C-5D75AF6C02B8}"/>
    <cellStyle name="Normal 3 20 9" xfId="1406" xr:uid="{44FEF7BF-ED0A-4061-95F5-384AFCE83EA5}"/>
    <cellStyle name="Normal 3 21" xfId="1407" xr:uid="{1C1DECE4-4FB3-4476-8FCB-E17B7DBDD4C5}"/>
    <cellStyle name="Normal 3 21 10" xfId="1408" xr:uid="{3274F5F1-EF4F-484D-B7B5-7C88BBFB7595}"/>
    <cellStyle name="Normal 3 21 11" xfId="1409" xr:uid="{61736C95-E4A6-4223-A174-0EBA55928B9A}"/>
    <cellStyle name="Normal 3 21 12" xfId="1410" xr:uid="{7E4C5222-05D2-42AF-A698-E6570622FCFF}"/>
    <cellStyle name="Normal 3 21 13" xfId="1411" xr:uid="{D25796EC-2807-457A-AD8A-2F90BB7035D6}"/>
    <cellStyle name="Normal 3 21 14" xfId="1412" xr:uid="{232E5C14-B1B1-48D1-A8F8-FB17CF1C5C6A}"/>
    <cellStyle name="Normal 3 21 15" xfId="1413" xr:uid="{557A7BD5-FD40-4380-ABA7-8C6BE709FAF9}"/>
    <cellStyle name="Normal 3 21 16" xfId="1414" xr:uid="{7B9D27DB-AF9F-4B83-9B91-1C64BD5B7B4D}"/>
    <cellStyle name="Normal 3 21 17" xfId="1415" xr:uid="{46CF3F2E-B6E5-4002-A6BE-FF31B9E524DC}"/>
    <cellStyle name="Normal 3 21 18" xfId="1416" xr:uid="{2A36EEC8-FB81-4DFF-8620-278E16B86250}"/>
    <cellStyle name="Normal 3 21 19" xfId="1417" xr:uid="{FF0346C7-5FAB-4182-8A20-75CA08EE7A20}"/>
    <cellStyle name="Normal 3 21 2" xfId="1418" xr:uid="{46E19084-3FA6-40FB-96C8-93FE69080913}"/>
    <cellStyle name="Normal 3 21 20" xfId="1419" xr:uid="{0DF5D891-09A7-43AA-A8BE-8731E1FF27AC}"/>
    <cellStyle name="Normal 3 21 21" xfId="1420" xr:uid="{AEA1FF16-A5B7-4134-8AB5-DB9578452E52}"/>
    <cellStyle name="Normal 3 21 22" xfId="1421" xr:uid="{94A299ED-7A79-4780-A30C-A654688F0376}"/>
    <cellStyle name="Normal 3 21 23" xfId="1422" xr:uid="{48B167C0-19C1-4EF8-863C-E04B5A12456C}"/>
    <cellStyle name="Normal 3 21 3" xfId="1423" xr:uid="{C67A7C0E-46DD-4877-91CF-28D9C7CA17B3}"/>
    <cellStyle name="Normal 3 21 4" xfId="1424" xr:uid="{0C9C4B2A-CE9B-4DC5-88CA-16391AD24D3D}"/>
    <cellStyle name="Normal 3 21 5" xfId="1425" xr:uid="{FCCE8CA2-0DDF-4686-BA38-7AA485D5CE15}"/>
    <cellStyle name="Normal 3 21 6" xfId="1426" xr:uid="{8F700D1B-D6A8-4EF3-9259-C73DA5FEC504}"/>
    <cellStyle name="Normal 3 21 7" xfId="1427" xr:uid="{0C3B8C58-B02C-46EA-AEE3-4B985BD317A7}"/>
    <cellStyle name="Normal 3 21 8" xfId="1428" xr:uid="{A2A0554C-87DF-4976-B2D5-D9CC471CA555}"/>
    <cellStyle name="Normal 3 21 9" xfId="1429" xr:uid="{59024A67-6867-4B02-BE87-69897341D404}"/>
    <cellStyle name="Normal 3 22" xfId="1430" xr:uid="{B6BAAD60-9B7C-492A-9A0C-B04ECBF71D00}"/>
    <cellStyle name="Normal 3 22 10" xfId="1431" xr:uid="{CFFFDC2C-7B41-4BA7-AED8-51E33A419AB2}"/>
    <cellStyle name="Normal 3 22 11" xfId="1432" xr:uid="{9DC330F6-E579-419A-8884-375088DE1379}"/>
    <cellStyle name="Normal 3 22 12" xfId="1433" xr:uid="{66AA7D1C-044B-4425-B6B6-82D93DC990A0}"/>
    <cellStyle name="Normal 3 22 13" xfId="1434" xr:uid="{87A02DDF-C367-400F-A7A6-B1FF35AF3336}"/>
    <cellStyle name="Normal 3 22 14" xfId="1435" xr:uid="{92717EAF-289B-4F9F-AB4F-A077F80AFC08}"/>
    <cellStyle name="Normal 3 22 15" xfId="1436" xr:uid="{3B44A8BD-BAE4-410F-9E35-D0DFD627E41B}"/>
    <cellStyle name="Normal 3 22 16" xfId="1437" xr:uid="{85F1030B-C008-410E-B341-E91E394DA3D4}"/>
    <cellStyle name="Normal 3 22 17" xfId="1438" xr:uid="{AFC168CE-56BA-40A6-ABE4-C1FDC7FCCBF0}"/>
    <cellStyle name="Normal 3 22 18" xfId="1439" xr:uid="{310BA272-BAF3-4D15-A094-17D2D858D4DD}"/>
    <cellStyle name="Normal 3 22 19" xfId="1440" xr:uid="{67399AA7-BA64-40DD-82AA-141702260055}"/>
    <cellStyle name="Normal 3 22 2" xfId="1441" xr:uid="{8BB94E36-5DDA-4B30-91B9-0CD679FEE047}"/>
    <cellStyle name="Normal 3 22 20" xfId="1442" xr:uid="{04B2F39F-FAFD-487B-8E9A-8B1ECB46C382}"/>
    <cellStyle name="Normal 3 22 21" xfId="1443" xr:uid="{B9F82306-9FB2-4507-BA4A-838E02AFBB88}"/>
    <cellStyle name="Normal 3 22 22" xfId="1444" xr:uid="{43B5242E-0A1E-4EA0-B431-D41B24B5BCBD}"/>
    <cellStyle name="Normal 3 22 23" xfId="1445" xr:uid="{45655D62-8769-4FB0-87C4-6B5C57AE8192}"/>
    <cellStyle name="Normal 3 22 3" xfId="1446" xr:uid="{8BA41ECF-30C9-4E0C-A6B8-D414328184F6}"/>
    <cellStyle name="Normal 3 22 4" xfId="1447" xr:uid="{FEDF5651-8832-4ABE-A960-34ACA549368B}"/>
    <cellStyle name="Normal 3 22 5" xfId="1448" xr:uid="{80C71E00-F9C0-416F-8D97-D433FD21EA29}"/>
    <cellStyle name="Normal 3 22 6" xfId="1449" xr:uid="{79DCE047-B128-456F-BF7E-4A0CA2235956}"/>
    <cellStyle name="Normal 3 22 7" xfId="1450" xr:uid="{86949844-7835-4E1D-B3FF-C7142F232782}"/>
    <cellStyle name="Normal 3 22 8" xfId="1451" xr:uid="{1BF97653-A4E6-4309-BAFA-7D695A21694A}"/>
    <cellStyle name="Normal 3 22 9" xfId="1452" xr:uid="{20AF4DA9-069B-4806-8F74-FC9D83DCE649}"/>
    <cellStyle name="Normal 3 23" xfId="1453" xr:uid="{DCD09E77-D1FE-49F1-BDC7-62B6BAF6AD43}"/>
    <cellStyle name="Normal 3 23 10" xfId="1454" xr:uid="{3A3B1636-B1CC-47DF-9BBF-86D776A177B1}"/>
    <cellStyle name="Normal 3 23 11" xfId="1455" xr:uid="{67C52922-E9E9-494E-8AE4-9D092DF24A13}"/>
    <cellStyle name="Normal 3 23 12" xfId="1456" xr:uid="{3C747618-DA90-404F-B8A5-424F12A533CF}"/>
    <cellStyle name="Normal 3 23 13" xfId="1457" xr:uid="{F3B90048-478B-443F-BBDF-4E064E3D7EB9}"/>
    <cellStyle name="Normal 3 23 14" xfId="1458" xr:uid="{B027C2EF-B999-4F2C-A559-97816074EF58}"/>
    <cellStyle name="Normal 3 23 15" xfId="1459" xr:uid="{CCAEEFD5-E364-4CDA-AA21-D87F27A369A8}"/>
    <cellStyle name="Normal 3 23 16" xfId="1460" xr:uid="{1F0D4F79-F962-4B61-8F7C-0294596C6822}"/>
    <cellStyle name="Normal 3 23 17" xfId="1461" xr:uid="{BF82A2F2-7C02-44F6-8C8A-A1B982418FF1}"/>
    <cellStyle name="Normal 3 23 18" xfId="1462" xr:uid="{BDEAAC32-14DA-4976-9216-7FF8357E9B57}"/>
    <cellStyle name="Normal 3 23 19" xfId="1463" xr:uid="{E8838748-E03B-41E1-84E4-EC80AB6AACAF}"/>
    <cellStyle name="Normal 3 23 2" xfId="1464" xr:uid="{46F00693-169E-4962-95AB-1B31FE3BDEFD}"/>
    <cellStyle name="Normal 3 23 20" xfId="1465" xr:uid="{FB98AF7C-E13F-4626-BFFC-614C6285FE25}"/>
    <cellStyle name="Normal 3 23 21" xfId="1466" xr:uid="{E2AA4913-360D-4453-80AD-4C766148A27E}"/>
    <cellStyle name="Normal 3 23 22" xfId="1467" xr:uid="{1505735B-F645-4772-B7F0-BC6B34AE2E56}"/>
    <cellStyle name="Normal 3 23 23" xfId="1468" xr:uid="{B3DDE441-5FE7-4428-9B1F-619397F52582}"/>
    <cellStyle name="Normal 3 23 3" xfId="1469" xr:uid="{45B91EA0-6FD8-4F8A-9D56-9A344E783FF8}"/>
    <cellStyle name="Normal 3 23 4" xfId="1470" xr:uid="{233BA350-7156-48EB-831E-377B9FB5B781}"/>
    <cellStyle name="Normal 3 23 5" xfId="1471" xr:uid="{4897E144-0DA1-4461-BE55-6D493FE24C5B}"/>
    <cellStyle name="Normal 3 23 6" xfId="1472" xr:uid="{FB942EA3-63C0-4A75-92E9-2ED893F3B2E6}"/>
    <cellStyle name="Normal 3 23 7" xfId="1473" xr:uid="{47C7D9C3-2B2D-4A2D-A758-B4CE7F72D04A}"/>
    <cellStyle name="Normal 3 23 8" xfId="1474" xr:uid="{054DBA84-6D70-4C95-B009-F239358DD846}"/>
    <cellStyle name="Normal 3 23 9" xfId="1475" xr:uid="{EA5F06D1-415E-483C-9B01-24FB9462FDF5}"/>
    <cellStyle name="Normal 3 24" xfId="1476" xr:uid="{7127EB7D-F90E-4DB6-9DB9-A9725C9362B7}"/>
    <cellStyle name="Normal 3 24 10" xfId="1477" xr:uid="{FBD1C8A2-7E69-4FE0-AFE0-9E5154BFBBC9}"/>
    <cellStyle name="Normal 3 24 11" xfId="1478" xr:uid="{74DC449D-1590-4B50-8925-ABB587BADDD1}"/>
    <cellStyle name="Normal 3 24 12" xfId="1479" xr:uid="{0AF3520D-1288-4FE9-AA57-F43B747211AD}"/>
    <cellStyle name="Normal 3 24 13" xfId="1480" xr:uid="{6E45417E-BF27-4FAA-AF93-55824248D61B}"/>
    <cellStyle name="Normal 3 24 14" xfId="1481" xr:uid="{72611AA5-6372-47F0-BE1D-471DC3837405}"/>
    <cellStyle name="Normal 3 24 15" xfId="1482" xr:uid="{C0565F14-17DF-4AF1-916B-34D0DED5AFC5}"/>
    <cellStyle name="Normal 3 24 16" xfId="1483" xr:uid="{A739A22C-928D-4AE4-AE55-EA4C1425EA3C}"/>
    <cellStyle name="Normal 3 24 17" xfId="1484" xr:uid="{72FD9642-5F64-4BC5-A221-74EB3737F894}"/>
    <cellStyle name="Normal 3 24 18" xfId="1485" xr:uid="{632BDB9C-8A50-4B5F-84D2-5BE7C8C8A268}"/>
    <cellStyle name="Normal 3 24 19" xfId="1486" xr:uid="{041C548B-A6A7-4884-AFA0-BD2D5EFD65D7}"/>
    <cellStyle name="Normal 3 24 2" xfId="1487" xr:uid="{B7583E96-567A-46AE-BD6C-2DA810DDA2C5}"/>
    <cellStyle name="Normal 3 24 20" xfId="1488" xr:uid="{F6909008-9392-4E1B-8C40-EE1EF9EF2423}"/>
    <cellStyle name="Normal 3 24 21" xfId="1489" xr:uid="{363FFD14-9FA4-41D5-8927-2F8FB2C94FCF}"/>
    <cellStyle name="Normal 3 24 22" xfId="1490" xr:uid="{397C3246-E823-4997-B1C9-2402F4259E26}"/>
    <cellStyle name="Normal 3 24 23" xfId="1491" xr:uid="{DC3927D0-580E-46E1-9D61-C0CEE93C6101}"/>
    <cellStyle name="Normal 3 24 3" xfId="1492" xr:uid="{68BD7F61-5F36-4C6E-9734-30AC0D668EF2}"/>
    <cellStyle name="Normal 3 24 4" xfId="1493" xr:uid="{03C9786D-A199-4B35-B087-F63738627B70}"/>
    <cellStyle name="Normal 3 24 5" xfId="1494" xr:uid="{C622FCB0-65A4-41F8-95B4-D4D87F03911A}"/>
    <cellStyle name="Normal 3 24 6" xfId="1495" xr:uid="{F9AAEB84-1A5B-4DC9-A8D2-E58792DDD766}"/>
    <cellStyle name="Normal 3 24 7" xfId="1496" xr:uid="{63FA7D0D-82CA-439D-B491-3CDF5DF5B0A4}"/>
    <cellStyle name="Normal 3 24 8" xfId="1497" xr:uid="{6E155161-42B5-4839-A4CB-DCA1673B2112}"/>
    <cellStyle name="Normal 3 24 9" xfId="1498" xr:uid="{499F9EC6-6755-40DB-A8D6-DC5F7C7D1A26}"/>
    <cellStyle name="Normal 3 25" xfId="1499" xr:uid="{89EAB993-7480-453B-89B7-DF053CBD619A}"/>
    <cellStyle name="Normal 3 25 10" xfId="1500" xr:uid="{2FC9F14D-9FA0-4FEC-9951-B1019A3099F8}"/>
    <cellStyle name="Normal 3 25 11" xfId="1501" xr:uid="{90EC1183-18DC-4F90-BB93-6F2D11EDAB60}"/>
    <cellStyle name="Normal 3 25 12" xfId="1502" xr:uid="{82F1E8E3-3418-4486-8824-FD6029694862}"/>
    <cellStyle name="Normal 3 25 13" xfId="1503" xr:uid="{6DE760DC-0FB0-458B-8600-31AAC4FF6C20}"/>
    <cellStyle name="Normal 3 25 14" xfId="1504" xr:uid="{1E32614D-61F8-4769-B39B-170A079AD111}"/>
    <cellStyle name="Normal 3 25 15" xfId="1505" xr:uid="{78CD63F1-755C-4E6C-B8B1-85CA20A6A5F1}"/>
    <cellStyle name="Normal 3 25 16" xfId="1506" xr:uid="{3C7212F5-4AD2-454B-812E-2128414A3C66}"/>
    <cellStyle name="Normal 3 25 17" xfId="1507" xr:uid="{9BFE5C6B-B579-481F-BAFB-54636EED80D9}"/>
    <cellStyle name="Normal 3 25 18" xfId="1508" xr:uid="{BE6E9FB0-DD3E-4E68-A38F-21871DF3D3F4}"/>
    <cellStyle name="Normal 3 25 19" xfId="1509" xr:uid="{2BC65A60-5BCF-44DF-A1EA-B6B7D199023D}"/>
    <cellStyle name="Normal 3 25 2" xfId="1510" xr:uid="{7F27C645-361C-41ED-A609-D9075789F261}"/>
    <cellStyle name="Normal 3 25 20" xfId="1511" xr:uid="{549A1C5F-A5D9-4B76-B306-26B01EA4B3DA}"/>
    <cellStyle name="Normal 3 25 21" xfId="1512" xr:uid="{2F233A4D-FCD2-48ED-A16D-08FC81C47014}"/>
    <cellStyle name="Normal 3 25 22" xfId="1513" xr:uid="{9491D5E2-37C5-4281-98A1-D7432B5B8231}"/>
    <cellStyle name="Normal 3 25 23" xfId="1514" xr:uid="{1CA57CB4-BB2D-4455-BEBA-987CA7F8AA6A}"/>
    <cellStyle name="Normal 3 25 3" xfId="1515" xr:uid="{900865C3-4544-443B-8685-CC5705E723AC}"/>
    <cellStyle name="Normal 3 25 4" xfId="1516" xr:uid="{29012145-5E82-4FD7-A1FD-BD92E20BA388}"/>
    <cellStyle name="Normal 3 25 5" xfId="1517" xr:uid="{F05F1654-7EBA-4DFA-9555-47D288CAAA5B}"/>
    <cellStyle name="Normal 3 25 6" xfId="1518" xr:uid="{9F86E3B7-C8B0-4299-AB74-D63A0F295E22}"/>
    <cellStyle name="Normal 3 25 7" xfId="1519" xr:uid="{3D195360-719E-4D0F-9427-8397832EE0D2}"/>
    <cellStyle name="Normal 3 25 8" xfId="1520" xr:uid="{8A102FF4-9FEF-4830-97A6-31CEF430EAE9}"/>
    <cellStyle name="Normal 3 25 9" xfId="1521" xr:uid="{44BB020E-9544-43B9-8D78-DE8ADFF5F344}"/>
    <cellStyle name="Normal 3 26" xfId="1522" xr:uid="{BC61242F-2852-4507-9192-BC063185C69E}"/>
    <cellStyle name="Normal 3 26 10" xfId="1523" xr:uid="{F0D97E99-D59E-4CF0-B7EF-AAC98F939CE8}"/>
    <cellStyle name="Normal 3 26 11" xfId="1524" xr:uid="{9433E615-EFFD-4231-9A94-A98E14C22FA5}"/>
    <cellStyle name="Normal 3 26 12" xfId="1525" xr:uid="{48BA3DE4-F7A5-4A7D-B9BB-67E4663BD835}"/>
    <cellStyle name="Normal 3 26 13" xfId="1526" xr:uid="{4D9B2136-2904-4D58-AB4B-1C462A2A02F1}"/>
    <cellStyle name="Normal 3 26 14" xfId="1527" xr:uid="{55FADF2A-FFA1-41F4-B905-6345594F0F44}"/>
    <cellStyle name="Normal 3 26 15" xfId="1528" xr:uid="{B073C063-F4CE-451C-A410-A94E2FCC0467}"/>
    <cellStyle name="Normal 3 26 16" xfId="1529" xr:uid="{20929EF9-C841-49C0-9DC7-84B486762805}"/>
    <cellStyle name="Normal 3 26 17" xfId="1530" xr:uid="{9EA9D644-FAE2-4C1F-862A-F4760AF23B56}"/>
    <cellStyle name="Normal 3 26 18" xfId="1531" xr:uid="{D1901645-039A-4311-A898-CDA85FEBA354}"/>
    <cellStyle name="Normal 3 26 19" xfId="1532" xr:uid="{639D6970-0ED9-4E27-8247-B7CD200CBB5C}"/>
    <cellStyle name="Normal 3 26 2" xfId="1533" xr:uid="{E3B13FDD-82A4-4D97-84BC-C8F8B8CF4A7D}"/>
    <cellStyle name="Normal 3 26 20" xfId="1534" xr:uid="{535478F8-898A-4020-9F2D-4B1294D3CBEA}"/>
    <cellStyle name="Normal 3 26 21" xfId="1535" xr:uid="{6F0FE1B6-E428-4617-874E-F0BF8708C2E8}"/>
    <cellStyle name="Normal 3 26 22" xfId="1536" xr:uid="{240B52C8-3494-4AB6-B222-80E9B10CB619}"/>
    <cellStyle name="Normal 3 26 23" xfId="1537" xr:uid="{6FCA6BB7-62F3-4E28-921E-3AC5C6623DB0}"/>
    <cellStyle name="Normal 3 26 3" xfId="1538" xr:uid="{0F170040-BA11-4532-8F04-E49CC4E2C7EB}"/>
    <cellStyle name="Normal 3 26 4" xfId="1539" xr:uid="{6F3FD530-DC8B-433A-AF59-F75B3545FDA6}"/>
    <cellStyle name="Normal 3 26 5" xfId="1540" xr:uid="{2FD4E7FA-926D-4026-A70E-6356F4A89E0D}"/>
    <cellStyle name="Normal 3 26 6" xfId="1541" xr:uid="{174D2B85-3740-4A92-BCA2-7AA530CFD98C}"/>
    <cellStyle name="Normal 3 26 7" xfId="1542" xr:uid="{03C84A96-3AB6-44F7-8A62-F5C3BFFA40B1}"/>
    <cellStyle name="Normal 3 26 8" xfId="1543" xr:uid="{ABE55EDE-6395-4499-8372-DC1CD3F57E30}"/>
    <cellStyle name="Normal 3 26 9" xfId="1544" xr:uid="{748EFC11-EF1E-433E-9B6A-29094EEE709D}"/>
    <cellStyle name="Normal 3 27" xfId="1545" xr:uid="{A2ECEE69-355B-4D64-9B77-A1719A8D7E15}"/>
    <cellStyle name="Normal 3 27 10" xfId="1546" xr:uid="{C2CA87DE-4C59-4913-B5F4-D2C9260076BD}"/>
    <cellStyle name="Normal 3 27 11" xfId="1547" xr:uid="{E3591496-DBC2-4C78-A2E4-C9A476BE3861}"/>
    <cellStyle name="Normal 3 27 12" xfId="1548" xr:uid="{61BEDB68-2D56-4A9F-AFC7-2E0E3D17311C}"/>
    <cellStyle name="Normal 3 27 13" xfId="1549" xr:uid="{B7E78451-E083-4AD1-B411-EA4897E73C39}"/>
    <cellStyle name="Normal 3 27 14" xfId="1550" xr:uid="{02AE0F23-D0D8-48BB-AB0F-D97D6AD29672}"/>
    <cellStyle name="Normal 3 27 15" xfId="1551" xr:uid="{8ED24DA2-8892-4309-9F4A-9CE369C76478}"/>
    <cellStyle name="Normal 3 27 16" xfId="1552" xr:uid="{4D8EEA3A-3701-40F4-A70E-2357ECE72FA8}"/>
    <cellStyle name="Normal 3 27 17" xfId="1553" xr:uid="{0D68D3B9-DFAA-4C22-A016-6214140D2B68}"/>
    <cellStyle name="Normal 3 27 18" xfId="1554" xr:uid="{D23F35EF-CBB7-4A70-A63D-CB10FD587BEF}"/>
    <cellStyle name="Normal 3 27 19" xfId="1555" xr:uid="{03CF81D5-B790-4D5E-9EFA-182E2AAC1E7F}"/>
    <cellStyle name="Normal 3 27 2" xfId="1556" xr:uid="{073C4705-7BD5-4379-A734-3251E3D3B35E}"/>
    <cellStyle name="Normal 3 27 20" xfId="1557" xr:uid="{B794E0A6-DF46-4E46-9E65-A420E9309504}"/>
    <cellStyle name="Normal 3 27 21" xfId="1558" xr:uid="{29509B89-D2C3-42EC-8519-858B78449DC5}"/>
    <cellStyle name="Normal 3 27 22" xfId="1559" xr:uid="{7ADF797D-2221-4F4D-876A-B9CE9C457A8A}"/>
    <cellStyle name="Normal 3 27 23" xfId="1560" xr:uid="{5443AC7A-2F86-4F24-B40E-741CC5B82EBF}"/>
    <cellStyle name="Normal 3 27 3" xfId="1561" xr:uid="{08898FBD-7A52-4AE6-BEF3-F36F4BE298A8}"/>
    <cellStyle name="Normal 3 27 4" xfId="1562" xr:uid="{64FFFC56-A799-4295-B48E-B50B13824B04}"/>
    <cellStyle name="Normal 3 27 5" xfId="1563" xr:uid="{A6BC7DE7-FC12-4019-BF34-9D0F9D333DCB}"/>
    <cellStyle name="Normal 3 27 6" xfId="1564" xr:uid="{60C88509-3158-4ADC-8DA2-29C21E578296}"/>
    <cellStyle name="Normal 3 27 7" xfId="1565" xr:uid="{38DEE221-1CBA-4142-AA09-FF3BC2A7CFFD}"/>
    <cellStyle name="Normal 3 27 8" xfId="1566" xr:uid="{E3AD7CE6-D5B5-4D07-8BD0-95E7731E456B}"/>
    <cellStyle name="Normal 3 27 9" xfId="1567" xr:uid="{2A62044C-5946-4A2C-9268-F4C1C3FDDB0B}"/>
    <cellStyle name="Normal 3 28" xfId="1568" xr:uid="{40781333-50F0-4663-B5AB-7E5302370405}"/>
    <cellStyle name="Normal 3 28 10" xfId="1569" xr:uid="{325F02C9-0997-4D72-88C4-E0EDB13ABFDA}"/>
    <cellStyle name="Normal 3 28 11" xfId="1570" xr:uid="{02069FEB-A1E5-4B4D-8B2D-224F6AF89832}"/>
    <cellStyle name="Normal 3 28 12" xfId="1571" xr:uid="{0D577A55-AD23-41B7-90F8-1A7DA3CEABF2}"/>
    <cellStyle name="Normal 3 28 13" xfId="1572" xr:uid="{0108E500-F497-48C4-9F28-51DAD92BE296}"/>
    <cellStyle name="Normal 3 28 14" xfId="1573" xr:uid="{760B2A44-A0BA-47B5-A0E3-C2D4146305FF}"/>
    <cellStyle name="Normal 3 28 15" xfId="1574" xr:uid="{ED7B9C81-8B4D-491F-9958-78D6EFD6B448}"/>
    <cellStyle name="Normal 3 28 16" xfId="1575" xr:uid="{C84EF8F7-20B7-4DCA-9B33-139AD011FBBA}"/>
    <cellStyle name="Normal 3 28 17" xfId="1576" xr:uid="{33416B1E-61B1-4F67-A690-BC8C4B7D18EE}"/>
    <cellStyle name="Normal 3 28 18" xfId="1577" xr:uid="{A9B31780-5276-4AFC-BBCF-E18F73E72B2E}"/>
    <cellStyle name="Normal 3 28 19" xfId="1578" xr:uid="{957BAC2E-4019-4395-9928-52017CB64488}"/>
    <cellStyle name="Normal 3 28 2" xfId="1579" xr:uid="{038DAD7D-5AD8-43B3-9FBA-522000819CF3}"/>
    <cellStyle name="Normal 3 28 20" xfId="1580" xr:uid="{EB924E64-3791-40D9-B812-CD38306F9A6A}"/>
    <cellStyle name="Normal 3 28 21" xfId="1581" xr:uid="{94E5E10A-6819-4150-9881-3736025905BA}"/>
    <cellStyle name="Normal 3 28 22" xfId="1582" xr:uid="{C6993F60-C8FC-46B4-B4FD-BAD5C9F9F3A3}"/>
    <cellStyle name="Normal 3 28 23" xfId="1583" xr:uid="{31B3217C-0D7C-41C9-9514-AFF199CF2E30}"/>
    <cellStyle name="Normal 3 28 3" xfId="1584" xr:uid="{3DFB8894-EAC7-473F-80BB-09515A2F8A24}"/>
    <cellStyle name="Normal 3 28 4" xfId="1585" xr:uid="{3F9CC596-9DFF-436A-B15B-345462F9840F}"/>
    <cellStyle name="Normal 3 28 5" xfId="1586" xr:uid="{6DB88DF1-5C7B-47E5-88E9-3708CBF141A6}"/>
    <cellStyle name="Normal 3 28 6" xfId="1587" xr:uid="{C3A44E1E-8422-48A0-8495-A4FD4AB95C24}"/>
    <cellStyle name="Normal 3 28 7" xfId="1588" xr:uid="{D40C28C1-A564-41A0-AF4B-643B0AFAE15B}"/>
    <cellStyle name="Normal 3 28 8" xfId="1589" xr:uid="{4DF4B023-CACF-4AD0-97E3-A38A4A98AE91}"/>
    <cellStyle name="Normal 3 28 9" xfId="1590" xr:uid="{84DC9CCD-AC7A-41D6-A878-FD292CD777E0}"/>
    <cellStyle name="Normal 3 29" xfId="1591" xr:uid="{B365D918-D87A-46F1-958E-2666C4EF627F}"/>
    <cellStyle name="Normal 3 29 10" xfId="1592" xr:uid="{E19CA90A-0AF4-42F5-952F-21095204A41F}"/>
    <cellStyle name="Normal 3 29 11" xfId="1593" xr:uid="{69EEF685-4113-4D56-8450-D0A369520927}"/>
    <cellStyle name="Normal 3 29 12" xfId="1594" xr:uid="{F8F849B9-3104-4337-90F2-5E53D865DFF6}"/>
    <cellStyle name="Normal 3 29 13" xfId="1595" xr:uid="{437C3960-135C-412B-B669-FE71398A66F9}"/>
    <cellStyle name="Normal 3 29 14" xfId="1596" xr:uid="{AF66916E-53E4-47A8-9C4A-DDA8CB0709C9}"/>
    <cellStyle name="Normal 3 29 15" xfId="1597" xr:uid="{A855DBE9-8487-475E-A5C6-4C69D9EE831D}"/>
    <cellStyle name="Normal 3 29 16" xfId="1598" xr:uid="{A4BECAEE-E694-42EE-A97B-A7E71051AC48}"/>
    <cellStyle name="Normal 3 29 17" xfId="1599" xr:uid="{631F2ECE-2353-4ADE-AE61-B32A9FA62A70}"/>
    <cellStyle name="Normal 3 29 18" xfId="1600" xr:uid="{0AE52676-30DA-44C4-BE5D-C7F7090FD3F9}"/>
    <cellStyle name="Normal 3 29 19" xfId="1601" xr:uid="{FEDA1C66-AD31-4FD5-BD1F-E7A1C9642F3E}"/>
    <cellStyle name="Normal 3 29 2" xfId="1602" xr:uid="{BC7F3E4E-7EB5-47DC-A784-468FA5F81BAE}"/>
    <cellStyle name="Normal 3 29 20" xfId="1603" xr:uid="{1F78D5C4-B97B-41B3-9311-5322508792FB}"/>
    <cellStyle name="Normal 3 29 21" xfId="1604" xr:uid="{665C2688-3819-4729-A7FD-BD40DAABD24D}"/>
    <cellStyle name="Normal 3 29 22" xfId="1605" xr:uid="{875A410D-DD0D-4557-9365-3AD881868CE9}"/>
    <cellStyle name="Normal 3 29 23" xfId="1606" xr:uid="{DAE6E3F8-23C6-4A04-96ED-724BD499E2C2}"/>
    <cellStyle name="Normal 3 29 3" xfId="1607" xr:uid="{B843C7DD-F07E-4664-9403-1F786E6D1CE7}"/>
    <cellStyle name="Normal 3 29 4" xfId="1608" xr:uid="{259B6F7B-D2A5-4643-882A-5768DAE21540}"/>
    <cellStyle name="Normal 3 29 5" xfId="1609" xr:uid="{0348C8C7-7321-471C-8EF5-84A6CD76DEBD}"/>
    <cellStyle name="Normal 3 29 6" xfId="1610" xr:uid="{D3B51D2C-6C43-41BE-8F85-28F9723F4166}"/>
    <cellStyle name="Normal 3 29 7" xfId="1611" xr:uid="{F6626E65-99BD-4BA8-B31F-60BFC553890E}"/>
    <cellStyle name="Normal 3 29 8" xfId="1612" xr:uid="{728518D1-147C-471A-8C4F-C3469CB6E552}"/>
    <cellStyle name="Normal 3 29 9" xfId="1613" xr:uid="{F30BD529-9214-4F71-B103-AAA5531B0633}"/>
    <cellStyle name="Normal 3 3" xfId="1614" xr:uid="{21A9F6F0-D756-48DA-9A59-B348A0EC38F6}"/>
    <cellStyle name="Normal 3 3 10" xfId="1615" xr:uid="{10BF38FB-B2DF-4B68-AEC2-F89976E6A802}"/>
    <cellStyle name="Normal 3 3 11" xfId="1616" xr:uid="{1EF20992-FF90-4FE9-BC73-02C971075059}"/>
    <cellStyle name="Normal 3 3 12" xfId="1617" xr:uid="{FB45130C-FA83-4338-961D-C3683C507AF1}"/>
    <cellStyle name="Normal 3 3 13" xfId="1618" xr:uid="{E97916D1-6884-4F88-BCA0-F01FEC96AB91}"/>
    <cellStyle name="Normal 3 3 14" xfId="1619" xr:uid="{0B03D8FA-6101-4111-8EFB-70AB08F4B7E3}"/>
    <cellStyle name="Normal 3 3 15" xfId="1620" xr:uid="{18D703B2-9DA9-485B-BCAC-06781DC13B62}"/>
    <cellStyle name="Normal 3 3 16" xfId="1621" xr:uid="{54FED2BE-20B7-47D5-B47D-DE086738DFA1}"/>
    <cellStyle name="Normal 3 3 17" xfId="1622" xr:uid="{E45B5A05-46DD-4B46-A29D-B2CB3A0B01B7}"/>
    <cellStyle name="Normal 3 3 18" xfId="1623" xr:uid="{04B3AE8B-3B27-47D4-897E-9A1AC1A17E4F}"/>
    <cellStyle name="Normal 3 3 19" xfId="1624" xr:uid="{EF877AB6-A0BE-48C5-8079-AB54DE54818D}"/>
    <cellStyle name="Normal 3 3 2" xfId="1625" xr:uid="{331BF2B9-0E4D-4863-8703-34CC02FD85C5}"/>
    <cellStyle name="Normal 3 3 20" xfId="1626" xr:uid="{DA78FD3F-7F48-43C0-ACE8-A446A4AFA76F}"/>
    <cellStyle name="Normal 3 3 21" xfId="1627" xr:uid="{25A6871A-2373-4834-8801-9137752E40DC}"/>
    <cellStyle name="Normal 3 3 22" xfId="1628" xr:uid="{BBB0C2BA-CB8F-470C-8BEC-9C12FD36C087}"/>
    <cellStyle name="Normal 3 3 23" xfId="1629" xr:uid="{2BCB604D-3F54-472D-BA2C-3A0BAFF05F01}"/>
    <cellStyle name="Normal 3 3 3" xfId="1630" xr:uid="{69409CE6-2201-413D-96FB-DC3F8C991D1D}"/>
    <cellStyle name="Normal 3 3 4" xfId="1631" xr:uid="{8C7A4DB1-C7DD-417E-B43A-A6DD668D3084}"/>
    <cellStyle name="Normal 3 3 5" xfId="1632" xr:uid="{FFEFDA9B-DA5E-404B-AE5F-6C7C153EB99E}"/>
    <cellStyle name="Normal 3 3 6" xfId="1633" xr:uid="{F1CE74A2-1D05-4982-BAE9-358EAB5EF20B}"/>
    <cellStyle name="Normal 3 3 7" xfId="1634" xr:uid="{E21E1BFC-08A7-4A4D-B648-FEC0F80E6DFC}"/>
    <cellStyle name="Normal 3 3 8" xfId="1635" xr:uid="{373C9273-74CC-4FE2-9D5A-49F8364CBD11}"/>
    <cellStyle name="Normal 3 3 9" xfId="1636" xr:uid="{993C5D38-8946-4703-884E-1DDD145BEAA6}"/>
    <cellStyle name="Normal 3 30" xfId="1637" xr:uid="{3941BFF2-C439-4F9A-B10B-A35CE0D950AE}"/>
    <cellStyle name="Normal 3 30 10" xfId="1638" xr:uid="{686BB50E-2D6F-4464-9630-84EAA8C13C57}"/>
    <cellStyle name="Normal 3 30 11" xfId="1639" xr:uid="{E5315B3F-64C3-4EDE-ABA4-DC4385CF3D2C}"/>
    <cellStyle name="Normal 3 30 12" xfId="1640" xr:uid="{207C3760-DC10-470B-B005-F5207DD6DF9C}"/>
    <cellStyle name="Normal 3 30 13" xfId="1641" xr:uid="{8AF4140C-17C2-483B-8040-E30241708726}"/>
    <cellStyle name="Normal 3 30 14" xfId="1642" xr:uid="{20F10131-1807-4252-A898-9BFEBCB1B15B}"/>
    <cellStyle name="Normal 3 30 15" xfId="1643" xr:uid="{001A91BC-7469-425A-BB45-E674B150EBB3}"/>
    <cellStyle name="Normal 3 30 16" xfId="1644" xr:uid="{9A11FDA8-4FDB-4A1E-BBA0-EE89B60C9253}"/>
    <cellStyle name="Normal 3 30 17" xfId="1645" xr:uid="{9E0AE8AE-E924-4D90-BE7D-51A4405E09CF}"/>
    <cellStyle name="Normal 3 30 18" xfId="1646" xr:uid="{71C19F46-C311-4F1A-AA36-4DD272A95C4E}"/>
    <cellStyle name="Normal 3 30 19" xfId="1647" xr:uid="{DD1C4116-D070-4258-ACDD-3360336235C3}"/>
    <cellStyle name="Normal 3 30 2" xfId="1648" xr:uid="{69880DFC-3415-4332-BE69-BE0F692C0A7D}"/>
    <cellStyle name="Normal 3 30 20" xfId="1649" xr:uid="{866E48B6-7114-4713-975C-8A9D83784BCE}"/>
    <cellStyle name="Normal 3 30 21" xfId="1650" xr:uid="{35E808DA-0F58-406A-B54C-ECFD0ABAD6D2}"/>
    <cellStyle name="Normal 3 30 22" xfId="1651" xr:uid="{5F459A4B-FE28-4486-98D2-5AFE738ADE4C}"/>
    <cellStyle name="Normal 3 30 23" xfId="1652" xr:uid="{06DA6624-6FCE-425C-8C8C-A763C6178779}"/>
    <cellStyle name="Normal 3 30 3" xfId="1653" xr:uid="{3B6582AF-521D-497C-A6DA-BE96E92D1019}"/>
    <cellStyle name="Normal 3 30 4" xfId="1654" xr:uid="{1A87F711-D0B3-4B3D-A298-06AC01437CDD}"/>
    <cellStyle name="Normal 3 30 5" xfId="1655" xr:uid="{A9411CD4-B3F1-439C-B77B-BCA7F496290D}"/>
    <cellStyle name="Normal 3 30 6" xfId="1656" xr:uid="{C825AE22-A285-40CB-B412-15805BE9C2BF}"/>
    <cellStyle name="Normal 3 30 7" xfId="1657" xr:uid="{36BECD85-47DE-4B67-A0BB-4F1052902F10}"/>
    <cellStyle name="Normal 3 30 8" xfId="1658" xr:uid="{AC3E49C9-EDF9-4B39-A8D2-C88DC7089357}"/>
    <cellStyle name="Normal 3 30 9" xfId="1659" xr:uid="{ADBFEDFA-FA35-41E6-AD6C-5ED5AA416536}"/>
    <cellStyle name="Normal 3 31" xfId="1660" xr:uid="{F2709913-B145-4CCC-93BD-70B081E3A7B9}"/>
    <cellStyle name="Normal 3 31 10" xfId="1661" xr:uid="{5B2AB603-3DFC-4937-8FBC-215BC7856556}"/>
    <cellStyle name="Normal 3 31 11" xfId="1662" xr:uid="{31823322-0F41-4630-BCEE-4C1BA1C60B93}"/>
    <cellStyle name="Normal 3 31 12" xfId="1663" xr:uid="{07082C4C-5689-49F7-807E-3450ABE26BCF}"/>
    <cellStyle name="Normal 3 31 13" xfId="1664" xr:uid="{2583A78D-7A02-4ED1-8B38-AB76AEF05087}"/>
    <cellStyle name="Normal 3 31 14" xfId="1665" xr:uid="{04C4EA9D-0E4E-4064-8CDF-568F836B17E4}"/>
    <cellStyle name="Normal 3 31 15" xfId="1666" xr:uid="{FEAE087B-E50A-4DF9-9FB0-B0749458DC83}"/>
    <cellStyle name="Normal 3 31 16" xfId="1667" xr:uid="{72CF47D2-920E-4AFA-AA11-06C8BBB56D7D}"/>
    <cellStyle name="Normal 3 31 17" xfId="1668" xr:uid="{8A954EB7-95B4-4922-8F3C-4BFBACC906D8}"/>
    <cellStyle name="Normal 3 31 18" xfId="1669" xr:uid="{0A861C40-C35C-4298-BDF0-11B5F8765339}"/>
    <cellStyle name="Normal 3 31 19" xfId="1670" xr:uid="{E0374C60-FC93-413D-816B-F6065AAE573D}"/>
    <cellStyle name="Normal 3 31 2" xfId="1671" xr:uid="{EB8C83F3-DF7C-445D-AA7D-E9D5ACDD3A9F}"/>
    <cellStyle name="Normal 3 31 20" xfId="1672" xr:uid="{5BA63B57-CA06-474C-BC95-B4FD0C56FEDB}"/>
    <cellStyle name="Normal 3 31 21" xfId="1673" xr:uid="{DA68D082-0F36-4020-9707-600EB85CA5D3}"/>
    <cellStyle name="Normal 3 31 22" xfId="1674" xr:uid="{36EC6314-2567-428B-9DA7-26B9C020CACB}"/>
    <cellStyle name="Normal 3 31 23" xfId="1675" xr:uid="{21A94B5D-537C-429C-9C2A-E7308E0E1B1E}"/>
    <cellStyle name="Normal 3 31 3" xfId="1676" xr:uid="{2468FC6D-541A-46A2-A097-C4E3879D4AE2}"/>
    <cellStyle name="Normal 3 31 4" xfId="1677" xr:uid="{E8618C4B-3314-4904-A6A4-011AF81B1FA9}"/>
    <cellStyle name="Normal 3 31 5" xfId="1678" xr:uid="{B954AC37-D353-4608-9FCC-152256723DB3}"/>
    <cellStyle name="Normal 3 31 6" xfId="1679" xr:uid="{59411827-168B-4121-AEBE-7C9E8EA96EFF}"/>
    <cellStyle name="Normal 3 31 7" xfId="1680" xr:uid="{87F7639D-74B9-496D-B370-F6EE14AC97FC}"/>
    <cellStyle name="Normal 3 31 8" xfId="1681" xr:uid="{80D56290-3DC9-4A0F-8A2B-3618ECDC1BDD}"/>
    <cellStyle name="Normal 3 31 9" xfId="1682" xr:uid="{4B95F856-031D-4731-8C8E-2B3A9AD75DE7}"/>
    <cellStyle name="Normal 3 32" xfId="1683" xr:uid="{0D547F63-A915-47DE-80AB-CD07843B8171}"/>
    <cellStyle name="Normal 3 32 10" xfId="1684" xr:uid="{14DFCA0B-F202-44FE-BEDF-2A38B3BF2CBF}"/>
    <cellStyle name="Normal 3 32 11" xfId="1685" xr:uid="{72A04927-A76D-43D3-A39D-F3E49ADC00D4}"/>
    <cellStyle name="Normal 3 32 12" xfId="1686" xr:uid="{3FDBEFC7-C784-47FB-8981-96302E4C86BA}"/>
    <cellStyle name="Normal 3 32 13" xfId="1687" xr:uid="{235607C2-1385-4A46-B894-7229E408784C}"/>
    <cellStyle name="Normal 3 32 14" xfId="1688" xr:uid="{237F5262-E291-478A-A03A-32713025DA55}"/>
    <cellStyle name="Normal 3 32 15" xfId="1689" xr:uid="{82064084-9AE9-48E1-8642-6C1756B07FD2}"/>
    <cellStyle name="Normal 3 32 16" xfId="1690" xr:uid="{40976FC0-DFE8-449A-8AA1-D5D3A804BC17}"/>
    <cellStyle name="Normal 3 32 17" xfId="1691" xr:uid="{CF3A94F3-995A-49B7-BDEE-E0A372821A01}"/>
    <cellStyle name="Normal 3 32 18" xfId="1692" xr:uid="{28200171-4C5B-4150-BA5D-DD87DDE07FFD}"/>
    <cellStyle name="Normal 3 32 19" xfId="1693" xr:uid="{EF9DD9EF-CBB2-44AD-B426-C9F4BBFDBF55}"/>
    <cellStyle name="Normal 3 32 2" xfId="1694" xr:uid="{0ACDB516-78A7-4AC8-B615-91E37A67088A}"/>
    <cellStyle name="Normal 3 32 20" xfId="1695" xr:uid="{2B9EB03D-92BD-4444-98AF-62E006B4196E}"/>
    <cellStyle name="Normal 3 32 21" xfId="1696" xr:uid="{11032DE9-F125-447A-9BBD-81044EB219AF}"/>
    <cellStyle name="Normal 3 32 22" xfId="1697" xr:uid="{F292A3CC-1DDC-4EF5-868D-85E42B5E6E7A}"/>
    <cellStyle name="Normal 3 32 23" xfId="1698" xr:uid="{1B739C29-0C73-4B54-B9BA-657D56838628}"/>
    <cellStyle name="Normal 3 32 3" xfId="1699" xr:uid="{70142EFF-1AF9-4CCD-9CD9-C4FFFDD6A420}"/>
    <cellStyle name="Normal 3 32 4" xfId="1700" xr:uid="{9746ED2D-E89F-4247-9BBB-69DC7793F271}"/>
    <cellStyle name="Normal 3 32 5" xfId="1701" xr:uid="{009BE09C-BDD5-479E-AAFA-417C25F53542}"/>
    <cellStyle name="Normal 3 32 6" xfId="1702" xr:uid="{9EA9887F-1CBC-4B1C-8F08-40D8ADB6A818}"/>
    <cellStyle name="Normal 3 32 7" xfId="1703" xr:uid="{B5085437-8AFC-42C5-820A-BEC84F5B92F3}"/>
    <cellStyle name="Normal 3 32 8" xfId="1704" xr:uid="{6E12D75F-E340-4CA6-914E-6B8C8CA2E6FA}"/>
    <cellStyle name="Normal 3 32 9" xfId="1705" xr:uid="{2B5AA731-5CC7-4A54-B34C-4A118CDFA3CF}"/>
    <cellStyle name="Normal 3 33" xfId="1706" xr:uid="{C65658ED-2237-4756-A6B4-6A8FA2447399}"/>
    <cellStyle name="Normal 3 33 10" xfId="1707" xr:uid="{724839D2-058B-4D25-A0A3-5B9EF6F3E196}"/>
    <cellStyle name="Normal 3 33 11" xfId="1708" xr:uid="{438CA219-B8DE-47E9-902F-2F2856BA4812}"/>
    <cellStyle name="Normal 3 33 12" xfId="1709" xr:uid="{2EB60C0B-09F2-4FA9-9B4C-CEDBC8189213}"/>
    <cellStyle name="Normal 3 33 13" xfId="1710" xr:uid="{1086881D-8FE4-4AF4-B9F4-5AEA653B5F42}"/>
    <cellStyle name="Normal 3 33 14" xfId="1711" xr:uid="{1B1FB018-060F-4634-A76B-63BAD0D47079}"/>
    <cellStyle name="Normal 3 33 15" xfId="1712" xr:uid="{B008CDF7-83E3-4DA5-9F04-9AAA05E6116F}"/>
    <cellStyle name="Normal 3 33 16" xfId="1713" xr:uid="{B62672AC-4BED-472A-8BBE-FAC9327F2206}"/>
    <cellStyle name="Normal 3 33 17" xfId="1714" xr:uid="{2A8DD7E0-F07A-498B-8201-1FB939113F04}"/>
    <cellStyle name="Normal 3 33 18" xfId="1715" xr:uid="{40A0680C-8E61-46D2-B49F-8E75E38005A6}"/>
    <cellStyle name="Normal 3 33 19" xfId="1716" xr:uid="{4F448F33-E86C-48B0-AADE-42E085370AB0}"/>
    <cellStyle name="Normal 3 33 2" xfId="1717" xr:uid="{BF4D1E2F-9514-4779-92EF-7B4FDD25C50F}"/>
    <cellStyle name="Normal 3 33 20" xfId="1718" xr:uid="{4F6408FB-9C19-4C20-B4F6-3801F0C805D2}"/>
    <cellStyle name="Normal 3 33 21" xfId="1719" xr:uid="{04018D3F-8602-43C9-96EB-882C0A19834C}"/>
    <cellStyle name="Normal 3 33 22" xfId="1720" xr:uid="{06B89D86-4C2C-43EF-B277-A5F0713D1E91}"/>
    <cellStyle name="Normal 3 33 23" xfId="1721" xr:uid="{BEFCC22F-D472-43F7-9CB6-2237FBE03519}"/>
    <cellStyle name="Normal 3 33 3" xfId="1722" xr:uid="{1A5BE5E5-4DE4-48AE-BA57-D4AFA3FE8BF0}"/>
    <cellStyle name="Normal 3 33 4" xfId="1723" xr:uid="{496B8B92-C1DC-43BE-9B06-59FA0A8B4349}"/>
    <cellStyle name="Normal 3 33 5" xfId="1724" xr:uid="{1904F5B2-1B0A-4487-8FD6-9659C3BE00ED}"/>
    <cellStyle name="Normal 3 33 6" xfId="1725" xr:uid="{E58D45AB-5487-4A39-8D8A-B674E8A1A72E}"/>
    <cellStyle name="Normal 3 33 7" xfId="1726" xr:uid="{BDFFCB2C-59F2-4BED-8BEE-F9D9A0DE9A13}"/>
    <cellStyle name="Normal 3 33 8" xfId="1727" xr:uid="{C83C6ED9-2218-4080-9790-925A13E37A23}"/>
    <cellStyle name="Normal 3 33 9" xfId="1728" xr:uid="{F4BECCC3-5A57-44C4-8F83-03E37ACAFE98}"/>
    <cellStyle name="Normal 3 34" xfId="1729" xr:uid="{2A664AE8-E9FD-4509-AEA2-184EFAA2B8CE}"/>
    <cellStyle name="Normal 3 35" xfId="1730" xr:uid="{559CBE24-E196-455E-8A6F-4A6DCBE8F0CD}"/>
    <cellStyle name="Normal 3 36" xfId="1731" xr:uid="{D44D6D5E-1FDC-4665-B8B2-FA3B9FD6CBE3}"/>
    <cellStyle name="Normal 3 37" xfId="1732" xr:uid="{F2E3FA23-AC27-489F-A2DB-49C6C29A9BFC}"/>
    <cellStyle name="Normal 3 38" xfId="1733" xr:uid="{2E1238E9-251E-4B18-969F-558F6FC871BA}"/>
    <cellStyle name="Normal 3 39" xfId="1734" xr:uid="{E59DE417-4CD3-4731-97DC-BD99EAF9B995}"/>
    <cellStyle name="Normal 3 4" xfId="1735" xr:uid="{7ECD961E-D937-4A72-8A3D-FFE501CECEBE}"/>
    <cellStyle name="Normal 3 4 10" xfId="1736" xr:uid="{F1968805-2656-489C-AF2E-55F3E3108BC9}"/>
    <cellStyle name="Normal 3 4 11" xfId="1737" xr:uid="{C3DF8E2D-00B1-4AF0-96C1-DA922C623E90}"/>
    <cellStyle name="Normal 3 4 12" xfId="1738" xr:uid="{2CAEAF2B-61FC-469D-ABA3-2DAA0C7839D3}"/>
    <cellStyle name="Normal 3 4 13" xfId="1739" xr:uid="{2DFFBF0D-DD7F-4FCC-B025-3442ED5BF4E4}"/>
    <cellStyle name="Normal 3 4 14" xfId="1740" xr:uid="{17D8A319-4A06-4139-A2DA-80368048D7BA}"/>
    <cellStyle name="Normal 3 4 15" xfId="1741" xr:uid="{FD3AFB00-146C-46ED-9466-CD3635583D8F}"/>
    <cellStyle name="Normal 3 4 16" xfId="1742" xr:uid="{4FD65D3E-CBFA-43AC-92DC-ACCD1F5A9DEE}"/>
    <cellStyle name="Normal 3 4 17" xfId="1743" xr:uid="{DF35E473-8E9A-4CB2-B0D4-43890063C53B}"/>
    <cellStyle name="Normal 3 4 18" xfId="1744" xr:uid="{E919FD78-A0D2-4F6F-AB93-6697B0224741}"/>
    <cellStyle name="Normal 3 4 19" xfId="1745" xr:uid="{F9BA94A8-D688-4008-A94C-7F0A300F5F93}"/>
    <cellStyle name="Normal 3 4 2" xfId="1746" xr:uid="{8399A61D-E71D-4A43-B8E1-C88F3C503408}"/>
    <cellStyle name="Normal 3 4 20" xfId="1747" xr:uid="{F32C5E96-4F58-4481-B72E-AAF0FC7FDD7F}"/>
    <cellStyle name="Normal 3 4 21" xfId="1748" xr:uid="{856774A3-2F4B-43B6-9EF5-4662BA824AC4}"/>
    <cellStyle name="Normal 3 4 22" xfId="1749" xr:uid="{70178B8B-8576-4725-B8F1-B3EF399BB8A1}"/>
    <cellStyle name="Normal 3 4 23" xfId="1750" xr:uid="{A4F6FD2C-233C-4AD5-ADF6-8B5303EF6A8C}"/>
    <cellStyle name="Normal 3 4 3" xfId="1751" xr:uid="{F4C943B0-459A-47E1-A885-C0441D63FC33}"/>
    <cellStyle name="Normal 3 4 4" xfId="1752" xr:uid="{3BB3C120-A36D-4E32-85C7-688D24180D04}"/>
    <cellStyle name="Normal 3 4 5" xfId="1753" xr:uid="{4D4DE0E5-70CD-4BAE-AC01-C2D597A9D150}"/>
    <cellStyle name="Normal 3 4 6" xfId="1754" xr:uid="{E25E5318-BF6E-4290-82D0-E59DFEF5D0B9}"/>
    <cellStyle name="Normal 3 4 7" xfId="1755" xr:uid="{2D81A651-288F-47DB-A620-375BCE4BF41F}"/>
    <cellStyle name="Normal 3 4 8" xfId="1756" xr:uid="{76394FF4-27C9-4468-90EA-F1F5E332599B}"/>
    <cellStyle name="Normal 3 4 9" xfId="1757" xr:uid="{2DA3798F-BFBB-4167-AC9C-831270AD559F}"/>
    <cellStyle name="Normal 3 40" xfId="1758" xr:uid="{70D94A45-86CA-412D-86C0-CDBCEF93CC52}"/>
    <cellStyle name="Normal 3 41" xfId="1759" xr:uid="{EBF35D90-F57D-4826-AA26-9C886AF9B27E}"/>
    <cellStyle name="Normal 3 42" xfId="1760" xr:uid="{C25A127D-3D62-4131-B96F-9DCB0CFFAFF5}"/>
    <cellStyle name="Normal 3 43" xfId="1761" xr:uid="{65DBA00A-6037-4A62-9209-C1B103B0FC83}"/>
    <cellStyle name="Normal 3 44" xfId="1762" xr:uid="{98FC9DB9-EC6C-4BAA-A128-0F3E62FBA8D4}"/>
    <cellStyle name="Normal 3 45" xfId="1763" xr:uid="{3B4B61CD-E24D-4E0E-AC70-DD236BC421CD}"/>
    <cellStyle name="Normal 3 46" xfId="1764" xr:uid="{5F00AA6D-B026-4EF0-8990-CD0ED0396382}"/>
    <cellStyle name="Normal 3 47" xfId="1765" xr:uid="{D98FBE51-D90F-4F81-8771-CC736B632AFE}"/>
    <cellStyle name="Normal 3 48" xfId="1766" xr:uid="{27A59D8A-43AA-4F29-9222-9DC0B9DBA77E}"/>
    <cellStyle name="Normal 3 49" xfId="1767" xr:uid="{68F78A65-F040-4F21-9FB5-07BAF9E5B25D}"/>
    <cellStyle name="Normal 3 5" xfId="1768" xr:uid="{EB8F270F-6B21-46BD-9B25-8C862E741E24}"/>
    <cellStyle name="Normal 3 5 10" xfId="1769" xr:uid="{4878F281-B3E3-4F8A-AF77-FB87C2C80F34}"/>
    <cellStyle name="Normal 3 5 11" xfId="1770" xr:uid="{35985944-AF6B-4B2C-821C-5EEF274FB515}"/>
    <cellStyle name="Normal 3 5 12" xfId="1771" xr:uid="{66458870-FF97-4F64-B02E-9443C1BF690A}"/>
    <cellStyle name="Normal 3 5 13" xfId="1772" xr:uid="{8B2BDF55-7340-42D2-800C-669A756FB525}"/>
    <cellStyle name="Normal 3 5 14" xfId="1773" xr:uid="{EA6C1054-46FF-4B97-9C46-A13B50922BD1}"/>
    <cellStyle name="Normal 3 5 15" xfId="1774" xr:uid="{443B8E08-A722-4B25-A418-DBD9BB309941}"/>
    <cellStyle name="Normal 3 5 16" xfId="1775" xr:uid="{06EB656A-4BFA-493F-A44F-A5F1C8467A0B}"/>
    <cellStyle name="Normal 3 5 17" xfId="1776" xr:uid="{48319847-25F6-4BCD-AD2A-C6A70D2071FB}"/>
    <cellStyle name="Normal 3 5 18" xfId="1777" xr:uid="{53E71E0F-C546-4303-93ED-CEA58BA63542}"/>
    <cellStyle name="Normal 3 5 19" xfId="1778" xr:uid="{7CE59A31-3F81-45DB-A408-EEC4DD36B770}"/>
    <cellStyle name="Normal 3 5 2" xfId="1779" xr:uid="{54B557F9-E509-453E-BE2A-0D21C1C105F3}"/>
    <cellStyle name="Normal 3 5 20" xfId="1780" xr:uid="{F0D3076B-5360-4D71-BC08-7B0F37E41DF9}"/>
    <cellStyle name="Normal 3 5 21" xfId="1781" xr:uid="{5A59EDAB-988C-48B7-99FD-B0E0006796D3}"/>
    <cellStyle name="Normal 3 5 22" xfId="1782" xr:uid="{DC613EEE-B135-4725-81FE-E0EB8B2CA3C7}"/>
    <cellStyle name="Normal 3 5 23" xfId="1783" xr:uid="{88F75849-918F-4FF0-882D-0DDB72D5C8DE}"/>
    <cellStyle name="Normal 3 5 3" xfId="1784" xr:uid="{66DC7728-25A2-4C8B-A137-489F635895D4}"/>
    <cellStyle name="Normal 3 5 4" xfId="1785" xr:uid="{651A1C9F-6962-4D5A-956D-094A3DF2FBB0}"/>
    <cellStyle name="Normal 3 5 5" xfId="1786" xr:uid="{44B64EBA-CE68-4B9E-B674-AEDD0CA335F7}"/>
    <cellStyle name="Normal 3 5 6" xfId="1787" xr:uid="{B20A8A04-80DE-4346-87C0-598B57B04A53}"/>
    <cellStyle name="Normal 3 5 7" xfId="1788" xr:uid="{653E7ABB-FE25-4B96-99DE-9133667564B1}"/>
    <cellStyle name="Normal 3 5 8" xfId="1789" xr:uid="{BF529C8E-EADB-452E-A5A2-654C4144CCAB}"/>
    <cellStyle name="Normal 3 5 9" xfId="1790" xr:uid="{E25B969D-3860-42DA-9405-76EC3763E41B}"/>
    <cellStyle name="Normal 3 50" xfId="1791" xr:uid="{FCAAC292-EF25-424F-95B5-2119AF30FD42}"/>
    <cellStyle name="Normal 3 51" xfId="1792" xr:uid="{ED5BA8BE-4B05-4DC5-BC2E-10E3C4C52741}"/>
    <cellStyle name="Normal 3 52" xfId="1793" xr:uid="{D6BED9EE-7137-40FD-8474-3105DEB547DC}"/>
    <cellStyle name="Normal 3 53" xfId="1794" xr:uid="{73C1CB4A-9D70-4536-8464-AFE9490866C9}"/>
    <cellStyle name="Normal 3 54" xfId="1795" xr:uid="{33AE05FE-8A3F-4388-BF41-0C77FC83BE1A}"/>
    <cellStyle name="Normal 3 55" xfId="1796" xr:uid="{D4B62331-BAA8-4673-AD9A-D4E162A66D58}"/>
    <cellStyle name="Normal 3 56" xfId="1797" xr:uid="{0A69551A-DECC-4B1E-A13A-3E72B69F314F}"/>
    <cellStyle name="Normal 3 57" xfId="1798" xr:uid="{84B0BF37-E9AB-4743-BBA4-B471275C28D0}"/>
    <cellStyle name="Normal 3 58" xfId="1799" xr:uid="{BEB3B542-4DFE-439F-887D-8A24B2D9377C}"/>
    <cellStyle name="Normal 3 59" xfId="1800" xr:uid="{8882A5B5-1A53-4CDB-BCD8-7BCBEA36B96E}"/>
    <cellStyle name="Normal 3 6" xfId="1801" xr:uid="{BA6B7F29-1E38-43E4-AEF5-50CB7848DEFA}"/>
    <cellStyle name="Normal 3 6 10" xfId="1802" xr:uid="{F71ECEB3-D390-4449-850E-395AF11AFE8B}"/>
    <cellStyle name="Normal 3 6 11" xfId="1803" xr:uid="{BF53C556-BF8C-453D-8118-60BCE45BC162}"/>
    <cellStyle name="Normal 3 6 12" xfId="1804" xr:uid="{FC3F5EB6-20BC-4A3E-A615-065F2AAF10F3}"/>
    <cellStyle name="Normal 3 6 13" xfId="1805" xr:uid="{9CE3AE9D-7AC5-4B3C-BB25-2A99D5538E84}"/>
    <cellStyle name="Normal 3 6 14" xfId="1806" xr:uid="{C8A6590A-C4DA-4F0F-B15E-2485198D2014}"/>
    <cellStyle name="Normal 3 6 15" xfId="1807" xr:uid="{2BBB8BCF-1C8C-4A34-8328-2121EBBF0CC4}"/>
    <cellStyle name="Normal 3 6 16" xfId="1808" xr:uid="{52BD1AAC-DFE8-4449-A1C7-2E7B6856085F}"/>
    <cellStyle name="Normal 3 6 17" xfId="1809" xr:uid="{84D8AE81-3005-4A5A-9D38-159EBB096C27}"/>
    <cellStyle name="Normal 3 6 18" xfId="1810" xr:uid="{8DC18014-C70C-418A-BC4A-F3FB6BB53085}"/>
    <cellStyle name="Normal 3 6 19" xfId="1811" xr:uid="{19535290-A5A2-492E-9BC8-9BC5FDD308B7}"/>
    <cellStyle name="Normal 3 6 2" xfId="1812" xr:uid="{6299F16C-4C38-4232-908B-C6E105184128}"/>
    <cellStyle name="Normal 3 6 20" xfId="1813" xr:uid="{1B68C18E-523E-4062-ABE4-9386FA131DA6}"/>
    <cellStyle name="Normal 3 6 21" xfId="1814" xr:uid="{B2A789EA-A51C-4E7A-A72C-E79572346592}"/>
    <cellStyle name="Normal 3 6 22" xfId="1815" xr:uid="{DA3A375D-2845-422D-B49B-D465AB4C68B6}"/>
    <cellStyle name="Normal 3 6 23" xfId="1816" xr:uid="{DBF3B481-A551-438C-A995-7BE646B85DBB}"/>
    <cellStyle name="Normal 3 6 3" xfId="1817" xr:uid="{4797464B-EFB4-4661-94C6-402635DF9400}"/>
    <cellStyle name="Normal 3 6 4" xfId="1818" xr:uid="{DAA0D261-C2FF-4302-B5D2-E426E92FD319}"/>
    <cellStyle name="Normal 3 6 5" xfId="1819" xr:uid="{10B77D00-98CD-4F18-B0EC-FFC3AAEE8B61}"/>
    <cellStyle name="Normal 3 6 6" xfId="1820" xr:uid="{B216AD2F-81A8-4868-8DDB-30FB61851CD4}"/>
    <cellStyle name="Normal 3 6 7" xfId="1821" xr:uid="{F62F9B34-2F15-4A68-9D4F-AF796603FBBA}"/>
    <cellStyle name="Normal 3 6 8" xfId="1822" xr:uid="{0D44A175-31A6-4E45-9076-315D75713730}"/>
    <cellStyle name="Normal 3 6 9" xfId="1823" xr:uid="{16F534B7-72BE-4B13-AEDF-8856E1333FD1}"/>
    <cellStyle name="Normal 3 60" xfId="1824" xr:uid="{9B41EDF4-A044-40EB-9A2C-D7CFFF9A87B8}"/>
    <cellStyle name="Normal 3 61" xfId="1825" xr:uid="{A14ABD5D-5D9D-4FEC-8A50-3FAE155CA128}"/>
    <cellStyle name="Normal 3 62" xfId="1826" xr:uid="{464A92A1-192A-40D4-AA5B-14FB1915CE6F}"/>
    <cellStyle name="Normal 3 63" xfId="1827" xr:uid="{6F5AE415-962E-4E5E-85F4-0DDC76CB54E7}"/>
    <cellStyle name="Normal 3 64" xfId="1828" xr:uid="{A3C3E225-95E3-4F9A-A774-94F3F5FDE80B}"/>
    <cellStyle name="Normal 3 65" xfId="1829" xr:uid="{9C058DA4-6201-48A9-B23B-21102D42FE5D}"/>
    <cellStyle name="Normal 3 66" xfId="1066" xr:uid="{0ADFDBD9-4AC6-4266-9891-8DFB2B875F32}"/>
    <cellStyle name="Normal 3 67" xfId="2067" xr:uid="{E3EFDD88-09B0-4E0C-8510-1B59CCB484D4}"/>
    <cellStyle name="Normal 3 68" xfId="2502" xr:uid="{9C836DDA-6060-40CA-B5B0-5FAB47F23836}"/>
    <cellStyle name="Normal 3 69" xfId="2503" xr:uid="{19650441-C77F-4FE9-987A-E47637E38774}"/>
    <cellStyle name="Normal 3 7" xfId="1830" xr:uid="{8187CD23-995E-4D1B-A423-994E05683002}"/>
    <cellStyle name="Normal 3 7 10" xfId="1831" xr:uid="{83DBE93E-EC5D-462C-B901-D58E96F21915}"/>
    <cellStyle name="Normal 3 7 11" xfId="1832" xr:uid="{DF8DC4CB-6794-4B88-9ABA-50F1D7E85257}"/>
    <cellStyle name="Normal 3 7 12" xfId="1833" xr:uid="{81DC718E-12AE-4002-86B5-C8F5FE573644}"/>
    <cellStyle name="Normal 3 7 13" xfId="1834" xr:uid="{0E45771B-A439-45BB-A046-A04A39668B37}"/>
    <cellStyle name="Normal 3 7 14" xfId="1835" xr:uid="{3FA33627-018D-4C81-B801-E70A6DAAF504}"/>
    <cellStyle name="Normal 3 7 15" xfId="1836" xr:uid="{D3718E40-B919-4DD9-85CD-567044084855}"/>
    <cellStyle name="Normal 3 7 16" xfId="1837" xr:uid="{0B2D2C00-E52F-40C7-9F85-25FAA7ACA5D9}"/>
    <cellStyle name="Normal 3 7 17" xfId="1838" xr:uid="{D312D819-12B3-44D2-BDCB-2D599EC13E82}"/>
    <cellStyle name="Normal 3 7 18" xfId="1839" xr:uid="{7497EBB9-B7B9-4DCC-B641-E03921833FE2}"/>
    <cellStyle name="Normal 3 7 19" xfId="1840" xr:uid="{0D94088E-C057-46ED-B169-A8733871C6B9}"/>
    <cellStyle name="Normal 3 7 2" xfId="1841" xr:uid="{98C2E07A-AE19-4776-8E59-329BCB311392}"/>
    <cellStyle name="Normal 3 7 20" xfId="1842" xr:uid="{FC5D832A-EA41-4817-8142-7E2AB456B23B}"/>
    <cellStyle name="Normal 3 7 21" xfId="1843" xr:uid="{C6CD5EFA-C32E-4323-B62E-D7D9500481E5}"/>
    <cellStyle name="Normal 3 7 22" xfId="1844" xr:uid="{094EE262-559B-4EDE-B2E7-0448BD1CB32F}"/>
    <cellStyle name="Normal 3 7 23" xfId="1845" xr:uid="{B865BF18-E493-4FA2-B1A9-909D1CE8BE0D}"/>
    <cellStyle name="Normal 3 7 3" xfId="1846" xr:uid="{627B0E09-F6AD-40D1-B149-AD0FC6EECAFB}"/>
    <cellStyle name="Normal 3 7 4" xfId="1847" xr:uid="{EF790A82-430F-49CD-8057-8FBA5C442C5D}"/>
    <cellStyle name="Normal 3 7 5" xfId="1848" xr:uid="{9D23D1E4-7CF8-4F5B-BADB-73D969C04813}"/>
    <cellStyle name="Normal 3 7 6" xfId="1849" xr:uid="{572B9E67-EC49-4B59-8158-1423DB52C729}"/>
    <cellStyle name="Normal 3 7 7" xfId="1850" xr:uid="{C35F94CB-0B13-44FD-B76C-D68510EF4131}"/>
    <cellStyle name="Normal 3 7 8" xfId="1851" xr:uid="{E0C838DC-9A02-49E2-BCD3-030791B9C522}"/>
    <cellStyle name="Normal 3 7 9" xfId="1852" xr:uid="{E00FA59D-D5A8-4C81-B2B7-3791069B2B40}"/>
    <cellStyle name="Normal 3 7_Summary" xfId="2392" xr:uid="{F246AE09-4C7B-4ACF-A19F-0B4411047703}"/>
    <cellStyle name="Normal 3 8" xfId="1853" xr:uid="{05F18323-DED9-4D0A-9593-D8BF4742E098}"/>
    <cellStyle name="Normal 3 8 10" xfId="1854" xr:uid="{0CC53AF1-D632-4EDA-A5E7-3ED284BD506A}"/>
    <cellStyle name="Normal 3 8 11" xfId="1855" xr:uid="{034A612A-3259-4303-89ED-9FAF88BEF579}"/>
    <cellStyle name="Normal 3 8 12" xfId="1856" xr:uid="{9E23FCFC-862E-4CDE-AC4B-3E89B8214142}"/>
    <cellStyle name="Normal 3 8 13" xfId="1857" xr:uid="{5FA9ECAC-52A4-4334-981C-4D20865A9CB4}"/>
    <cellStyle name="Normal 3 8 14" xfId="1858" xr:uid="{9F446631-371E-41F3-A94C-77FF1F83E415}"/>
    <cellStyle name="Normal 3 8 15" xfId="1859" xr:uid="{2C99AB93-3A8D-4AB7-A615-06F554C4A391}"/>
    <cellStyle name="Normal 3 8 16" xfId="1860" xr:uid="{4B6D0CCB-4852-4239-8688-A1C5A449E5C8}"/>
    <cellStyle name="Normal 3 8 17" xfId="1861" xr:uid="{9E9779DD-C9DB-4461-8D9E-85919E1B855C}"/>
    <cellStyle name="Normal 3 8 18" xfId="1862" xr:uid="{8E7340CB-73C9-44AF-862D-B07EE013393F}"/>
    <cellStyle name="Normal 3 8 19" xfId="1863" xr:uid="{9D5FF68F-CB25-4508-9CF8-BA4EDE776960}"/>
    <cellStyle name="Normal 3 8 2" xfId="1864" xr:uid="{B071C755-BF20-4FFD-A076-00603BE96E79}"/>
    <cellStyle name="Normal 3 8 20" xfId="1865" xr:uid="{E0DD8FE1-0BA6-4D91-950B-A0800568407D}"/>
    <cellStyle name="Normal 3 8 21" xfId="1866" xr:uid="{2D481D25-3AC9-495E-A5AC-E294F713B181}"/>
    <cellStyle name="Normal 3 8 22" xfId="1867" xr:uid="{B17EAC30-424E-438C-AE58-35D3F9A030B5}"/>
    <cellStyle name="Normal 3 8 23" xfId="1868" xr:uid="{42ABFE8B-DF07-4528-AC99-0B299109B22C}"/>
    <cellStyle name="Normal 3 8 3" xfId="1869" xr:uid="{010BC40A-6585-4FA4-84BB-A3352515C279}"/>
    <cellStyle name="Normal 3 8 4" xfId="1870" xr:uid="{3F23A3DE-929B-4DA4-BBEC-5CA6A18D940D}"/>
    <cellStyle name="Normal 3 8 5" xfId="1871" xr:uid="{05C37EE7-6000-4F7A-BCA1-854DB0E979EE}"/>
    <cellStyle name="Normal 3 8 6" xfId="1872" xr:uid="{F926E247-CFFC-447E-BCEA-A8885AE5D365}"/>
    <cellStyle name="Normal 3 8 7" xfId="1873" xr:uid="{0C383E55-B5DE-46FD-BC9A-A7E705BC920E}"/>
    <cellStyle name="Normal 3 8 8" xfId="1874" xr:uid="{B714E333-DACD-4F30-80CC-44EDFB539680}"/>
    <cellStyle name="Normal 3 8 9" xfId="1875" xr:uid="{34C05489-BD62-43FC-8DED-38F5962CB9F8}"/>
    <cellStyle name="Normal 3 9" xfId="1876" xr:uid="{13F06752-5BBE-4F2F-995B-FD06BBBEA91D}"/>
    <cellStyle name="Normal 3 9 10" xfId="1877" xr:uid="{C0E4B0D0-B6C4-41C4-9DDF-9FC4ACE5BD8F}"/>
    <cellStyle name="Normal 3 9 11" xfId="1878" xr:uid="{6EAE6916-8B21-4676-89F8-87886F190711}"/>
    <cellStyle name="Normal 3 9 12" xfId="1879" xr:uid="{5DFB5060-CC93-4BCC-87B3-198FB656E396}"/>
    <cellStyle name="Normal 3 9 13" xfId="1880" xr:uid="{15153800-ABC8-4A46-AB49-A5559F789B76}"/>
    <cellStyle name="Normal 3 9 14" xfId="1881" xr:uid="{A34E6D45-9CC7-4434-9BA3-0207D12F8796}"/>
    <cellStyle name="Normal 3 9 15" xfId="1882" xr:uid="{DCAE35C7-A100-435A-9EBA-DBDB95EFC7FD}"/>
    <cellStyle name="Normal 3 9 16" xfId="1883" xr:uid="{ED2BF01B-63AF-40CF-8C80-0C3E58B041A2}"/>
    <cellStyle name="Normal 3 9 17" xfId="1884" xr:uid="{544E5FC3-9443-41F8-9314-209F31E89C97}"/>
    <cellStyle name="Normal 3 9 18" xfId="1885" xr:uid="{7BE8E5AD-3A89-47A1-9A37-753081A522A1}"/>
    <cellStyle name="Normal 3 9 19" xfId="1886" xr:uid="{6766EEF3-E701-4BFA-9705-36FAC6470D51}"/>
    <cellStyle name="Normal 3 9 2" xfId="1887" xr:uid="{4AC078AA-01D9-47C6-ACDD-9F9D5FF0B4B6}"/>
    <cellStyle name="Normal 3 9 20" xfId="1888" xr:uid="{50386581-4799-483A-9B5F-F591ABA0144F}"/>
    <cellStyle name="Normal 3 9 21" xfId="1889" xr:uid="{64D7A137-7AA9-4182-96B4-59034525EB42}"/>
    <cellStyle name="Normal 3 9 22" xfId="1890" xr:uid="{EA28E1FC-54AD-47C3-80BF-D2A3B15E987F}"/>
    <cellStyle name="Normal 3 9 23" xfId="1891" xr:uid="{2203291C-6663-4982-983E-E28DC6C30801}"/>
    <cellStyle name="Normal 3 9 3" xfId="1892" xr:uid="{231BDDED-E8C9-4BBA-9419-3CD1A60C0D91}"/>
    <cellStyle name="Normal 3 9 4" xfId="1893" xr:uid="{9D7B22F3-671F-405C-9E90-94B40365685C}"/>
    <cellStyle name="Normal 3 9 5" xfId="1894" xr:uid="{C8FEC07B-28F5-4489-BB56-E19960860E6C}"/>
    <cellStyle name="Normal 3 9 6" xfId="1895" xr:uid="{B3CE2C2B-3EAB-467D-B705-D33CA459CC3F}"/>
    <cellStyle name="Normal 3 9 7" xfId="1896" xr:uid="{B55AA17E-208E-46C1-A0ED-5D2D1FC8AEB6}"/>
    <cellStyle name="Normal 3 9 8" xfId="1897" xr:uid="{B6F4D818-33F6-4B05-8E5C-79C676975817}"/>
    <cellStyle name="Normal 3 9 9" xfId="1898" xr:uid="{94C9073F-4C09-492C-8BCB-7E9EF786DAC3}"/>
    <cellStyle name="Normal 3 9_Summary" xfId="2393" xr:uid="{931804DF-91AA-49A5-869C-8F38AA56A5A0}"/>
    <cellStyle name="Normal 3_Rates" xfId="2394" xr:uid="{D54CC18C-A5BE-43CA-A6D9-E41535BEC722}"/>
    <cellStyle name="Normal 31" xfId="2001" xr:uid="{B33F0DE4-8A48-404F-8AD3-0EF04E350F67}"/>
    <cellStyle name="Normal 4" xfId="54" xr:uid="{03FFD6BE-4ADF-4A23-8C6D-EE635F83FF2E}"/>
    <cellStyle name="Normal 4 2" xfId="1900" xr:uid="{60444C66-17B1-4F28-A9F8-1AA07498EAAA}"/>
    <cellStyle name="Normal 4 2 2" xfId="2070" xr:uid="{14952044-ACFC-45E4-95BF-701AE5029866}"/>
    <cellStyle name="Normal 4 2 3" xfId="2395" xr:uid="{963D1F0D-BBA5-459A-B581-146428041761}"/>
    <cellStyle name="Normal 4 2 4" xfId="2396" xr:uid="{1A60CDE6-DD51-4BC5-BFCD-7B347CFE917F}"/>
    <cellStyle name="Normal 4 2 5" xfId="2069" xr:uid="{8D9C4152-6D7C-4CE0-8EAE-979CB39C79D8}"/>
    <cellStyle name="Normal 4 26" xfId="2397" xr:uid="{D12A316E-2998-45E9-931A-E6C7B9EE23FD}"/>
    <cellStyle name="Normal 4 26 2" xfId="2398" xr:uid="{5DAF9D08-EA65-4FA4-9071-F2A353AB7FB5}"/>
    <cellStyle name="Normal 4 3" xfId="1899" xr:uid="{F8A8E9C5-2CCD-4E3A-8299-47471D3BFFA0}"/>
    <cellStyle name="Normal 4 3 2" xfId="2002" xr:uid="{93C42DF9-FDF2-4D2D-B197-90BF8C82BEAA}"/>
    <cellStyle name="Normal 4 4" xfId="2068" xr:uid="{70763AD5-3E67-4D10-BDDC-CE6E0303A7DC}"/>
    <cellStyle name="Normal 5" xfId="3" xr:uid="{92B5A7B5-925C-4773-AE9B-293323137C36}"/>
    <cellStyle name="Normal 5 10" xfId="1901" xr:uid="{72AE32C6-E073-4CC5-B031-D1E453B1CF74}"/>
    <cellStyle name="Normal 5 11" xfId="1902" xr:uid="{7C94F767-D5C4-47D8-A34A-F48B4906F25D}"/>
    <cellStyle name="Normal 5 12" xfId="1903" xr:uid="{FC9442E7-89B2-4EE7-A143-4DE0F7638533}"/>
    <cellStyle name="Normal 5 13" xfId="1904" xr:uid="{A96ECF82-CA19-409B-BCA2-8ED4476031CB}"/>
    <cellStyle name="Normal 5 14" xfId="1905" xr:uid="{1636A746-8530-4EFC-84B3-3FB47670AEDC}"/>
    <cellStyle name="Normal 5 15" xfId="1906" xr:uid="{514BCD99-4D99-48C5-A04C-41A7B7F8B00C}"/>
    <cellStyle name="Normal 5 16" xfId="1907" xr:uid="{DC09E0A0-A40C-4F2D-ABFC-438D813536BB}"/>
    <cellStyle name="Normal 5 17" xfId="1908" xr:uid="{AFE2AF35-53E6-4FB2-B357-F75D69F2912B}"/>
    <cellStyle name="Normal 5 18" xfId="1909" xr:uid="{5B02F810-5751-477F-A8EF-00F2E77C1BE3}"/>
    <cellStyle name="Normal 5 19" xfId="1910" xr:uid="{6AA73CD2-DEC6-4F64-88A7-F7CDB1614C2E}"/>
    <cellStyle name="Normal 5 2" xfId="1911" xr:uid="{3BE5B76D-14BB-4322-B302-2F2859337006}"/>
    <cellStyle name="Normal 5 2 10" xfId="1912" xr:uid="{585727E4-3F8C-455C-890C-22DA7D151D05}"/>
    <cellStyle name="Normal 5 2 11" xfId="1913" xr:uid="{C0FD9CDB-C1BB-4A34-85BA-50F7E5E944AF}"/>
    <cellStyle name="Normal 5 2 12" xfId="1914" xr:uid="{06E9AE7A-E068-4747-B025-0249541D1C08}"/>
    <cellStyle name="Normal 5 2 13" xfId="1915" xr:uid="{AADFAA77-2EC6-4EA7-9ED6-B1C9A91DCF6C}"/>
    <cellStyle name="Normal 5 2 14" xfId="1916" xr:uid="{663CC71E-BBD8-47FD-99DD-4F41563762FB}"/>
    <cellStyle name="Normal 5 2 15" xfId="1917" xr:uid="{9CE59917-601F-4FAC-875F-44ED5C63B6AA}"/>
    <cellStyle name="Normal 5 2 16" xfId="1918" xr:uid="{332047F4-A791-482B-B375-AA4C6DBF9C4E}"/>
    <cellStyle name="Normal 5 2 17" xfId="1919" xr:uid="{CD157E74-7E8E-446F-8137-8608F612018F}"/>
    <cellStyle name="Normal 5 2 18" xfId="1920" xr:uid="{DD9EDB47-407D-4ADD-A98A-4E7CC2E2A375}"/>
    <cellStyle name="Normal 5 2 19" xfId="1921" xr:uid="{603564B4-7AE9-4CFA-9F54-8CAC91EE5922}"/>
    <cellStyle name="Normal 5 2 2" xfId="1922" xr:uid="{5E6F3484-03F0-4115-B5AC-2EB4C7B7AC9D}"/>
    <cellStyle name="Normal 5 2 20" xfId="1923" xr:uid="{3658CF1C-DA56-4F1D-8EC3-AD7354FD75D7}"/>
    <cellStyle name="Normal 5 2 21" xfId="1924" xr:uid="{B544E8A5-53FA-4463-A7C5-4E1DCB766F09}"/>
    <cellStyle name="Normal 5 2 22" xfId="1925" xr:uid="{E2B5B707-B2A7-49CC-84C6-4FB1E6779355}"/>
    <cellStyle name="Normal 5 2 23" xfId="1926" xr:uid="{342A481C-146C-46B5-94BE-D93BE35DA153}"/>
    <cellStyle name="Normal 5 2 3" xfId="1927" xr:uid="{3179DDC2-9C98-4528-BF05-11F8D9AE6802}"/>
    <cellStyle name="Normal 5 2 4" xfId="1928" xr:uid="{4839243A-030A-4A04-B19C-B0D44E15D41F}"/>
    <cellStyle name="Normal 5 2 5" xfId="1929" xr:uid="{C240F903-6476-48EF-B038-612B9E638345}"/>
    <cellStyle name="Normal 5 2 6" xfId="1930" xr:uid="{62E57782-D815-4367-9FD5-4EB15F91244E}"/>
    <cellStyle name="Normal 5 2 7" xfId="1931" xr:uid="{B864020D-5D86-442F-A767-9C30EC6514F9}"/>
    <cellStyle name="Normal 5 2 8" xfId="1932" xr:uid="{CA523D8B-A734-41AD-88EC-B4D734F4512D}"/>
    <cellStyle name="Normal 5 2 9" xfId="1933" xr:uid="{F547FA2F-F6F5-41BE-8400-B8AA80B93A0C}"/>
    <cellStyle name="Normal 5 20" xfId="1934" xr:uid="{D1F7B0F1-E5E6-4586-8D5D-B21D7187B506}"/>
    <cellStyle name="Normal 5 21" xfId="1935" xr:uid="{74C1C310-F465-4EDD-B57A-6A84B3B63199}"/>
    <cellStyle name="Normal 5 22" xfId="1936" xr:uid="{201412E2-0A55-4ACE-B77E-F397D7E8871C}"/>
    <cellStyle name="Normal 5 23" xfId="1937" xr:uid="{CB79707B-AD63-438B-8AE6-AEBE6D32FB70}"/>
    <cellStyle name="Normal 5 24" xfId="1938" xr:uid="{51146C1C-A524-4115-8DC2-36D3C92DC01A}"/>
    <cellStyle name="Normal 5 25" xfId="2071" xr:uid="{810C7801-6540-4221-A3C5-E339B088F05F}"/>
    <cellStyle name="Normal 5 26" xfId="2508" xr:uid="{58D54947-11AB-427D-AC18-7E3E5E0B1069}"/>
    <cellStyle name="Normal 5 3" xfId="1939" xr:uid="{701A5584-4979-4E5E-9B2A-81A5D57E46B0}"/>
    <cellStyle name="Normal 5 4" xfId="1940" xr:uid="{0EF53D42-B4B1-4016-A732-32F26175357D}"/>
    <cellStyle name="Normal 5 5" xfId="1941" xr:uid="{7F098CBA-B99D-401F-9F64-02BE58E108FE}"/>
    <cellStyle name="Normal 5 6" xfId="1942" xr:uid="{49E37C70-EA56-4ABD-A2C5-87D4BDE2C78F}"/>
    <cellStyle name="Normal 5 7" xfId="1943" xr:uid="{54D54434-8A93-47C3-8723-0E4BDB111895}"/>
    <cellStyle name="Normal 5 8" xfId="1944" xr:uid="{8AA47E57-50C5-476D-9FA0-E6DB20BABC3E}"/>
    <cellStyle name="Normal 5 9" xfId="1945" xr:uid="{F749A775-D69A-41D3-B1D6-8F5ADD901748}"/>
    <cellStyle name="Normal 5_Summary" xfId="2399" xr:uid="{EDF12176-2D91-45A7-826B-40774E01516A}"/>
    <cellStyle name="Normal 6" xfId="1946" xr:uid="{F2E992C4-3D91-4188-8670-41FFECBAF45D}"/>
    <cellStyle name="Normal 6 2" xfId="2073" xr:uid="{179A7150-EFC9-4B6F-9DEE-D5F6D20DA74E}"/>
    <cellStyle name="Normal 6 2 2" xfId="2074" xr:uid="{8D79F098-D75F-418F-87E8-7A570C2700C0}"/>
    <cellStyle name="Normal 6 2 2 2" xfId="2075" xr:uid="{FB57A68D-D227-4A7D-B181-764C2ED5829F}"/>
    <cellStyle name="Normal 6 2 3" xfId="2076" xr:uid="{71C5A0FC-02E2-4275-A5A2-D4DAC2A77434}"/>
    <cellStyle name="Normal 6 3" xfId="2077" xr:uid="{8733CCDE-D265-4F31-9EB4-5C2F814DAAAD}"/>
    <cellStyle name="Normal 6 3 2" xfId="2078" xr:uid="{00B49842-EE28-4BF6-AE31-7172C735E3C6}"/>
    <cellStyle name="Normal 6 4" xfId="2079" xr:uid="{4E099373-2EE9-448D-B333-35137E0E61F2}"/>
    <cellStyle name="Normal 6 5" xfId="2072" xr:uid="{7602AE0D-2386-459C-BEC1-82080E346332}"/>
    <cellStyle name="Normal 7" xfId="1947" xr:uid="{CDF8E742-AFCA-4680-A8CB-2B21C725171A}"/>
    <cellStyle name="Normal 7 10" xfId="1948" xr:uid="{3B6FB22C-EB28-440F-87A2-E491E37B85AB}"/>
    <cellStyle name="Normal 7 11" xfId="1949" xr:uid="{613F173C-B6BD-45DD-B900-26385D508491}"/>
    <cellStyle name="Normal 7 12" xfId="1950" xr:uid="{8AC79A70-44C9-4C37-A547-6D2B0122C072}"/>
    <cellStyle name="Normal 7 13" xfId="1951" xr:uid="{30FDA825-B8AE-429C-A9E9-2C9934D29948}"/>
    <cellStyle name="Normal 7 14" xfId="1952" xr:uid="{D31B5B90-B201-41A9-81E1-F25D3C58821E}"/>
    <cellStyle name="Normal 7 15" xfId="1953" xr:uid="{CD774176-E005-43E1-878C-32C3C6D6EC64}"/>
    <cellStyle name="Normal 7 16" xfId="1954" xr:uid="{EA4C760E-6F02-4264-8984-049446D942AC}"/>
    <cellStyle name="Normal 7 17" xfId="1955" xr:uid="{1C546607-EC9C-4F2B-B98C-79F59B4132B2}"/>
    <cellStyle name="Normal 7 18" xfId="1956" xr:uid="{A13E9AD1-4124-416D-939D-D3A1D76B27A2}"/>
    <cellStyle name="Normal 7 19" xfId="1957" xr:uid="{854FDC71-E3B9-4DED-8621-ECC144621E7F}"/>
    <cellStyle name="Normal 7 2" xfId="1958" xr:uid="{FAA6BE13-E618-44A0-8464-95E3BBB41C59}"/>
    <cellStyle name="Normal 7 2 10" xfId="1959" xr:uid="{2BEC444D-C015-4C48-ADF2-04A1516EEB1A}"/>
    <cellStyle name="Normal 7 2 11" xfId="1960" xr:uid="{98B1D322-1D86-4C64-8A0E-32CFCEE1F69A}"/>
    <cellStyle name="Normal 7 2 12" xfId="1961" xr:uid="{39ADE4B5-437E-4F32-879B-89613D953F9A}"/>
    <cellStyle name="Normal 7 2 13" xfId="1962" xr:uid="{05CD6018-487B-4388-9562-FA9D21A9EA9C}"/>
    <cellStyle name="Normal 7 2 14" xfId="1963" xr:uid="{CBB17431-4C0D-4C44-85B4-365CBC81037E}"/>
    <cellStyle name="Normal 7 2 15" xfId="1964" xr:uid="{91D508E8-97E5-460B-9585-1A84E9F68AD1}"/>
    <cellStyle name="Normal 7 2 16" xfId="1965" xr:uid="{22F952F4-22FF-49CB-A3D6-CD14A1B739EF}"/>
    <cellStyle name="Normal 7 2 17" xfId="1966" xr:uid="{150D2DF0-AE44-411A-8910-97547206E592}"/>
    <cellStyle name="Normal 7 2 18" xfId="1967" xr:uid="{A07741A3-4AC9-4C05-B8BF-D9F7D3FE545E}"/>
    <cellStyle name="Normal 7 2 19" xfId="1968" xr:uid="{660FE932-550F-4A13-A64F-178A97BA8388}"/>
    <cellStyle name="Normal 7 2 2" xfId="1969" xr:uid="{E015818B-3886-4A79-8974-6C369B52E28C}"/>
    <cellStyle name="Normal 7 2 20" xfId="1970" xr:uid="{593F6363-8399-4864-941C-76C659ACAE14}"/>
    <cellStyle name="Normal 7 2 21" xfId="1971" xr:uid="{C3F11A35-51AC-4363-8150-F14C9B28DCEE}"/>
    <cellStyle name="Normal 7 2 22" xfId="1972" xr:uid="{FCD341DB-64EA-4591-8B7B-8D1CA8391CA5}"/>
    <cellStyle name="Normal 7 2 23" xfId="1973" xr:uid="{4D7DF906-DBD2-4F1B-AC13-A3B3511F0E48}"/>
    <cellStyle name="Normal 7 2 24" xfId="2081" xr:uid="{270248E5-8FEA-46BE-8B77-0489632A470E}"/>
    <cellStyle name="Normal 7 2 3" xfId="1974" xr:uid="{98879C37-4EB0-4AD5-974B-266E07B43CB0}"/>
    <cellStyle name="Normal 7 2 4" xfId="1975" xr:uid="{2A6AEE4B-ABFD-498A-97E3-B772CD9EF6E2}"/>
    <cellStyle name="Normal 7 2 5" xfId="1976" xr:uid="{4F712D9B-5F34-40A2-93AB-DA36E114D245}"/>
    <cellStyle name="Normal 7 2 6" xfId="1977" xr:uid="{32D085A3-094B-41EA-9D0B-3F9E69E3E831}"/>
    <cellStyle name="Normal 7 2 7" xfId="1978" xr:uid="{13424275-6784-4BA2-AEDA-5FB97DFB7571}"/>
    <cellStyle name="Normal 7 2 8" xfId="1979" xr:uid="{FC7E2541-0520-4D55-8758-46D5980BC67A}"/>
    <cellStyle name="Normal 7 2 9" xfId="1980" xr:uid="{101808E0-3321-4B2A-872A-D4B41A2A02D9}"/>
    <cellStyle name="Normal 7 20" xfId="1981" xr:uid="{32104A23-0079-4597-9B62-CA3AA669D745}"/>
    <cellStyle name="Normal 7 21" xfId="1982" xr:uid="{1141EBDC-2D4C-41CB-B90E-D94DC1DDED0F}"/>
    <cellStyle name="Normal 7 22" xfId="1983" xr:uid="{926C9158-1D90-46D8-8A71-195ADD9F2B2E}"/>
    <cellStyle name="Normal 7 23" xfId="1984" xr:uid="{E0B6F4E4-7AF9-4480-AECD-2FE708D1DF5A}"/>
    <cellStyle name="Normal 7 24" xfId="1985" xr:uid="{8810F6D5-7FB4-42E7-9A0B-DC3AEF3DE7AD}"/>
    <cellStyle name="Normal 7 25" xfId="2080" xr:uid="{3CB5E8C4-1636-488C-AEE8-1B4278E0397A}"/>
    <cellStyle name="Normal 7 3" xfId="1986" xr:uid="{D2190379-E8DA-4332-92B5-65410452178D}"/>
    <cellStyle name="Normal 7 4" xfId="1987" xr:uid="{1C12B15E-8609-4DDA-BADF-7BC47B8B8EB0}"/>
    <cellStyle name="Normal 7 5" xfId="1988" xr:uid="{7432258F-9418-470A-9350-2B2434B4BC03}"/>
    <cellStyle name="Normal 7 6" xfId="1989" xr:uid="{5CBAC2AE-D38F-458C-A7BF-66A3F95FDCC0}"/>
    <cellStyle name="Normal 7 7" xfId="1990" xr:uid="{C49BD9F1-2DC2-438D-B900-259BA930ACC1}"/>
    <cellStyle name="Normal 7 8" xfId="1991" xr:uid="{298CB863-1540-43E4-A05C-D9AE8F4B5E42}"/>
    <cellStyle name="Normal 7 9" xfId="1992" xr:uid="{AB8ED58E-7736-4F3D-82D0-A448932D60D6}"/>
    <cellStyle name="Normal 8" xfId="1993" xr:uid="{71932294-E69C-49B8-B523-D8969C195B36}"/>
    <cellStyle name="Normal 8 2" xfId="2083" xr:uid="{35D6E911-6259-48B8-B6A6-B2A5FB8D4AC6}"/>
    <cellStyle name="Normal 8 2 2" xfId="2084" xr:uid="{8A13793E-134A-428A-B529-0BBB05331BB3}"/>
    <cellStyle name="Normal 8 3" xfId="2085" xr:uid="{189A9C5B-BBDA-4BC2-8693-D9EC8EA2F911}"/>
    <cellStyle name="Normal 8 4" xfId="2082" xr:uid="{DC78D63C-D91E-4D1E-953E-CD65B47C13F2}"/>
    <cellStyle name="Normal 9" xfId="2086" xr:uid="{0C95F208-FEBB-48C6-9597-2677B4D4B236}"/>
    <cellStyle name="Normal 9 2" xfId="2087" xr:uid="{C13D5BC1-8B35-4A7F-8782-D84A43AC9C83}"/>
    <cellStyle name="Normal 9 3" xfId="2400" xr:uid="{9136BC66-454E-43C4-ACB7-F76534F0A719}"/>
    <cellStyle name="Normal_Calc_Com Gas Fryer_product_04-29-09" xfId="2881" xr:uid="{92F7FE5E-B325-47B2-A090-42AD38449992}"/>
    <cellStyle name="Normal_Calc_Computer_product" xfId="2880" xr:uid="{EEFB2ED0-0376-425D-B9E0-D2E50BBC506C}"/>
    <cellStyle name="Normal_Commercial Electric Fryer calculator_product_092909" xfId="2879" xr:uid="{562EDEFE-102A-4626-9D26-417470670670}"/>
    <cellStyle name="Normal_office equipment calculator - rough draft 110909" xfId="2878" xr:uid="{00402C83-B9AA-42A4-BE66-9761CAF7A0B5}"/>
    <cellStyle name="Note" xfId="17" builtinId="10" customBuiltin="1"/>
    <cellStyle name="Note 2" xfId="1994" xr:uid="{B5D0857D-BA05-416C-936A-282A7815325D}"/>
    <cellStyle name="Note 2 10" xfId="2591" xr:uid="{38FCEA78-D2E8-4A1B-8390-3A7E6005365D}"/>
    <cellStyle name="Note 2 10 2" xfId="2759" xr:uid="{0432FD9A-7F0D-4025-9493-1A4850895452}"/>
    <cellStyle name="Note 2 11" xfId="2518" xr:uid="{0A773A9C-8EED-44E5-A4F4-54FC364AD868}"/>
    <cellStyle name="Note 2 12" xfId="2517" xr:uid="{D783718D-E555-499C-A68D-5861A6AE340E}"/>
    <cellStyle name="Note 2 2" xfId="2402" xr:uid="{07704272-1CFD-4467-8775-0D3C2F488D15}"/>
    <cellStyle name="Note 2 2 10" xfId="2601" xr:uid="{B3010C3B-E916-4C31-BFE2-4D0E62065D23}"/>
    <cellStyle name="Note 2 2 10 2" xfId="2769" xr:uid="{3B4D1D30-211F-41CE-8DA1-56AB2B874966}"/>
    <cellStyle name="Note 2 2 11" xfId="2527" xr:uid="{2A5695D8-F3E6-4D0B-B0B3-BEBA294B0007}"/>
    <cellStyle name="Note 2 2 12" xfId="2526" xr:uid="{F59BEA5D-7347-432D-AC99-9F891445B629}"/>
    <cellStyle name="Note 2 2 2" xfId="2485" xr:uid="{58D95045-93EC-4502-8E27-05750394797F}"/>
    <cellStyle name="Note 2 2 2 10" xfId="2708" xr:uid="{8EAD9EE3-DFAF-4872-93FA-8DC9B35E33F7}"/>
    <cellStyle name="Note 2 2 2 2" xfId="2642" xr:uid="{325A82D8-34DA-4670-841E-504747884330}"/>
    <cellStyle name="Note 2 2 2 2 2" xfId="2810" xr:uid="{70EE48B9-B6C6-4106-AE9B-A089F961BECD}"/>
    <cellStyle name="Note 2 2 2 3" xfId="2596" xr:uid="{69F29935-8330-4EFE-8159-229216111390}"/>
    <cellStyle name="Note 2 2 2 3 2" xfId="2764" xr:uid="{84C42B2B-25E9-488C-9C20-A6E76CCB2184}"/>
    <cellStyle name="Note 2 2 2 4" xfId="2670" xr:uid="{B630A093-AE59-4B0B-8296-D17542D96E53}"/>
    <cellStyle name="Note 2 2 2 4 2" xfId="2838" xr:uid="{F862FCAC-BF54-4DB3-9221-F93F86CDF27E}"/>
    <cellStyle name="Note 2 2 2 5" xfId="2612" xr:uid="{4DABB7F1-D5D4-4AED-A69F-A55E44714128}"/>
    <cellStyle name="Note 2 2 2 5 2" xfId="2780" xr:uid="{19A17F2A-79B7-4FB9-871A-65A9D3325EF4}"/>
    <cellStyle name="Note 2 2 2 6" xfId="2510" xr:uid="{A9370C36-8AD7-48F5-A4B3-0A90E2DFA0BD}"/>
    <cellStyle name="Note 2 2 2 6 2" xfId="2523" xr:uid="{BA4D953B-C153-4481-A236-583701F623A4}"/>
    <cellStyle name="Note 2 2 2 7" xfId="2686" xr:uid="{DE8C369A-A997-4123-B7AC-69B3AE3EC286}"/>
    <cellStyle name="Note 2 2 2 7 2" xfId="2854" xr:uid="{EB7D6A65-3FC1-44D1-A763-61F64AEA4A6E}"/>
    <cellStyle name="Note 2 2 2 8" xfId="2593" xr:uid="{6094E591-3CE8-4313-93BE-74EE98F84DA7}"/>
    <cellStyle name="Note 2 2 2 8 2" xfId="2761" xr:uid="{90B02191-7EB3-453A-A5DC-31CE248E7B2F}"/>
    <cellStyle name="Note 2 2 2 9" xfId="2534" xr:uid="{1667CAA6-8848-45FB-AC55-A480AA65BAC6}"/>
    <cellStyle name="Note 2 2 3" xfId="2488" xr:uid="{6FDE5C80-8E18-4FB5-9E9A-A80BE0D57B29}"/>
    <cellStyle name="Note 2 2 3 10" xfId="2710" xr:uid="{25987C76-4805-4000-B6BE-1C03F4EE0C65}"/>
    <cellStyle name="Note 2 2 3 2" xfId="2644" xr:uid="{3437F0F5-5C20-4596-ACD0-B1C50452CBB1}"/>
    <cellStyle name="Note 2 2 3 2 2" xfId="2812" xr:uid="{6B3A8EF8-D692-4B20-B262-6560A36C37C0}"/>
    <cellStyle name="Note 2 2 3 3" xfId="2594" xr:uid="{5FAB3AD5-EE78-41AB-888B-6812729FB37F}"/>
    <cellStyle name="Note 2 2 3 3 2" xfId="2762" xr:uid="{FDE02659-7BB8-4E10-8B8D-08307C2D0326}"/>
    <cellStyle name="Note 2 2 3 4" xfId="2672" xr:uid="{5466FABF-4EA0-4859-9738-A09788E05A0E}"/>
    <cellStyle name="Note 2 2 3 4 2" xfId="2840" xr:uid="{FA62FE7D-675E-4B31-A3FE-AE84C8AD0AB1}"/>
    <cellStyle name="Note 2 2 3 5" xfId="2682" xr:uid="{7C3F43D3-E379-4E70-8C4D-2142E3C48D3B}"/>
    <cellStyle name="Note 2 2 3 5 2" xfId="2850" xr:uid="{1E79C817-1AB1-4EA5-A7FA-F91CBD61F72A}"/>
    <cellStyle name="Note 2 2 3 6" xfId="2690" xr:uid="{EF8AD3A7-8D63-4347-9F0F-AE0E3407446F}"/>
    <cellStyle name="Note 2 2 3 6 2" xfId="2858" xr:uid="{4C885AA9-D4A3-42D2-BCCF-74C536D29670}"/>
    <cellStyle name="Note 2 2 3 7" xfId="2614" xr:uid="{30D0AD06-E2DD-4366-80B9-668FCBF1B1F4}"/>
    <cellStyle name="Note 2 2 3 7 2" xfId="2782" xr:uid="{5C3F17F3-FC5C-4D4A-9E2F-7E71B6CB1C56}"/>
    <cellStyle name="Note 2 2 3 8" xfId="2692" xr:uid="{C08BE9D6-2CE9-4661-9BD0-0D49E56BF23D}"/>
    <cellStyle name="Note 2 2 3 8 2" xfId="2860" xr:uid="{3D38BD11-5CFF-4071-A570-2A9D20CB75BF}"/>
    <cellStyle name="Note 2 2 3 9" xfId="2536" xr:uid="{3A9FCFF8-86EE-4881-AE97-C1646BA1EDB8}"/>
    <cellStyle name="Note 2 2 4" xfId="2627" xr:uid="{AD5D7ED4-818D-4573-9266-ABFAA468D8E6}"/>
    <cellStyle name="Note 2 2 4 2" xfId="2795" xr:uid="{3F781E2F-CC8C-4917-B575-B9E6BDBE44B4}"/>
    <cellStyle name="Note 2 2 5" xfId="2604" xr:uid="{AB112CB6-5E47-4981-99B9-3249C16748B4}"/>
    <cellStyle name="Note 2 2 5 2" xfId="2772" xr:uid="{E258304B-6EEE-4F77-9BA3-170F78F8AB00}"/>
    <cellStyle name="Note 2 2 6" xfId="2592" xr:uid="{6D9B4A60-641F-469F-AEAC-6E8BFA4C7984}"/>
    <cellStyle name="Note 2 2 6 2" xfId="2760" xr:uid="{10C12830-CA00-4400-8EBC-FD0FF0DE9D4D}"/>
    <cellStyle name="Note 2 2 7" xfId="2613" xr:uid="{F80DF485-730A-4D72-B062-C08522A3CA26}"/>
    <cellStyle name="Note 2 2 7 2" xfId="2781" xr:uid="{3B1DC719-7909-4D91-B767-6ECD91009586}"/>
    <cellStyle name="Note 2 2 8" xfId="2621" xr:uid="{B92D77AB-9D92-4AFA-8631-E1EBF8A73876}"/>
    <cellStyle name="Note 2 2 8 2" xfId="2789" xr:uid="{A13F1F44-14E5-4F9A-9306-FCC6183F1B43}"/>
    <cellStyle name="Note 2 2 9" xfId="2588" xr:uid="{72265247-8CBB-4716-AEA6-7170043CC4CA}"/>
    <cellStyle name="Note 2 2 9 2" xfId="2756" xr:uid="{01AABDBB-C323-409A-921D-089BCD3FAB1E}"/>
    <cellStyle name="Note 2 3" xfId="2401" xr:uid="{89C93F6B-98B4-41F9-B2E4-FD1F5DDB06AB}"/>
    <cellStyle name="Note 2 4" xfId="2578" xr:uid="{C8138D0F-9CCB-4F8A-9DC6-CFAABB3DF4B5}"/>
    <cellStyle name="Note 2 4 2" xfId="2746" xr:uid="{0F3F7933-9893-48CA-90BF-6E1872EB75DC}"/>
    <cellStyle name="Note 2 5" xfId="2559" xr:uid="{EF8EF26E-3B20-43F2-8B8F-65D61D7BDB97}"/>
    <cellStyle name="Note 2 5 2" xfId="2727" xr:uid="{76A39940-E591-4B05-BCF7-7307F9D0D896}"/>
    <cellStyle name="Note 2 6" xfId="2570" xr:uid="{73FBA1DC-9ADA-42C9-A4D1-A8DFF7DF8698}"/>
    <cellStyle name="Note 2 6 2" xfId="2738" xr:uid="{34FD2EEF-7658-4DAC-942B-A1F2DF18DBDD}"/>
    <cellStyle name="Note 2 7" xfId="2564" xr:uid="{6DD956EE-9536-45F0-A2E5-33D555E37BB0}"/>
    <cellStyle name="Note 2 7 2" xfId="2732" xr:uid="{AAB1A8B0-A240-4E43-AA28-2621A44587CE}"/>
    <cellStyle name="Note 2 8" xfId="2568" xr:uid="{B05E41D6-2CD8-4193-B7B0-98525A9E4226}"/>
    <cellStyle name="Note 2 8 2" xfId="2736" xr:uid="{F90353A4-6916-4252-9F1F-64A83E769180}"/>
    <cellStyle name="Note 2 9" xfId="2567" xr:uid="{BC0B76C6-70D8-41AA-B0A1-87ED2AB1CD23}"/>
    <cellStyle name="Note 2 9 2" xfId="2735" xr:uid="{D578A8C8-65F0-4619-9139-13EFBCFC49C9}"/>
    <cellStyle name="Note 3" xfId="2403" xr:uid="{94C98FEA-2068-4D5C-84D6-77A0BC481EDD}"/>
    <cellStyle name="NumColmHd" xfId="2404" xr:uid="{51280293-6ED4-45B4-8388-CC0835E8247F}"/>
    <cellStyle name="NumColmHd 2" xfId="2486" xr:uid="{A6B27595-751B-4A2C-8FE7-7CE3F8F5E3EF}"/>
    <cellStyle name="NumColmHd 3" xfId="2489" xr:uid="{06CC8C94-5A2C-444A-AE36-0A7146B6A419}"/>
    <cellStyle name="Output" xfId="12" builtinId="21" customBuiltin="1"/>
    <cellStyle name="Output 2" xfId="1995" xr:uid="{157B1D05-ACD9-4F5E-89F2-4EF6CB541EDE}"/>
    <cellStyle name="Output 2 10" xfId="2632" xr:uid="{79C1E52B-A9B5-469B-BDC8-278CF24C1BC2}"/>
    <cellStyle name="Output 2 10 2" xfId="2800" xr:uid="{85981964-4165-453B-90C9-8AE19A0221AD}"/>
    <cellStyle name="Output 2 11" xfId="2519" xr:uid="{2380CA56-5BE9-481A-93A8-2C69500DC0AB}"/>
    <cellStyle name="Output 2 12" xfId="2516" xr:uid="{FAA279FA-1E8B-4A27-83DA-3F7E0840D1BF}"/>
    <cellStyle name="Output 2 2" xfId="2487" xr:uid="{1EB1E9C3-48F4-4EB4-BCDC-C34368BE2520}"/>
    <cellStyle name="Output 2 2 10" xfId="2709" xr:uid="{6974ADAE-9B29-40B7-B669-BDFC3F3DA5E3}"/>
    <cellStyle name="Output 2 2 2" xfId="2643" xr:uid="{3267713D-86B5-48F8-992E-06BA940F3C39}"/>
    <cellStyle name="Output 2 2 2 2" xfId="2811" xr:uid="{19422BB2-714A-4DFA-9BF1-C1C349BD7316}"/>
    <cellStyle name="Output 2 2 3" xfId="2595" xr:uid="{ABC16740-AB39-4F96-977F-1E2573FC6ABE}"/>
    <cellStyle name="Output 2 2 3 2" xfId="2763" xr:uid="{BCFBBBDA-688F-4A2B-A9D4-608CAC93F162}"/>
    <cellStyle name="Output 2 2 4" xfId="2671" xr:uid="{D87501C6-ACA2-4ACA-BC98-6D501A97081D}"/>
    <cellStyle name="Output 2 2 4 2" xfId="2839" xr:uid="{D83107A4-F7C2-4C9A-AAD9-1C4E6A695EA8}"/>
    <cellStyle name="Output 2 2 5" xfId="2681" xr:uid="{DDC82C68-8EB1-4CA6-AD20-98228F16731B}"/>
    <cellStyle name="Output 2 2 5 2" xfId="2849" xr:uid="{4097BF0C-8DC8-4FDC-8CAF-A2443E53B359}"/>
    <cellStyle name="Output 2 2 6" xfId="2689" xr:uid="{E1B79CFD-84BD-45F4-BE5A-79FF8A3ECEC2}"/>
    <cellStyle name="Output 2 2 6 2" xfId="2857" xr:uid="{0F5EE4C8-9F3A-444F-B0DC-ED48B2E3B8B1}"/>
    <cellStyle name="Output 2 2 7" xfId="2555" xr:uid="{A64C8B68-09EA-4557-BA4A-69DE68A222D1}"/>
    <cellStyle name="Output 2 2 7 2" xfId="2723" xr:uid="{1E0327DC-D139-4269-BF54-68367C0F4CA4}"/>
    <cellStyle name="Output 2 2 8" xfId="2561" xr:uid="{BF3DA42E-63BB-418A-ADE3-F77C0FF12C58}"/>
    <cellStyle name="Output 2 2 8 2" xfId="2729" xr:uid="{293F62C0-B9EC-49BB-BC8B-BA68BBDB3DFB}"/>
    <cellStyle name="Output 2 2 9" xfId="2535" xr:uid="{E7954B59-6A78-4C22-BEA3-304177A82F25}"/>
    <cellStyle name="Output 2 3" xfId="2490" xr:uid="{7A5E011D-79E4-43E1-B8D9-D813819BFA10}"/>
    <cellStyle name="Output 2 3 10" xfId="2711" xr:uid="{F9A7CA35-9522-4125-9079-09C0239C11F2}"/>
    <cellStyle name="Output 2 3 2" xfId="2645" xr:uid="{B95F2614-CD4E-449C-9F83-E792694AF75D}"/>
    <cellStyle name="Output 2 3 2 2" xfId="2813" xr:uid="{DEAAAC10-A63E-42EA-874D-6070BC4A702A}"/>
    <cellStyle name="Output 2 3 3" xfId="2653" xr:uid="{8958D00E-58C8-40C9-8C06-10AAC9B0B00C}"/>
    <cellStyle name="Output 2 3 3 2" xfId="2821" xr:uid="{6BBACD39-DD74-4B8C-B46A-AF970A722352}"/>
    <cellStyle name="Output 2 3 4" xfId="2673" xr:uid="{4261103A-E896-487F-81CC-38867FF7547E}"/>
    <cellStyle name="Output 2 3 4 2" xfId="2841" xr:uid="{861148EC-7B0D-4A89-BA6B-A5762DACA954}"/>
    <cellStyle name="Output 2 3 5" xfId="2683" xr:uid="{DEDF8158-5985-44F7-A0A6-CFF28BA43104}"/>
    <cellStyle name="Output 2 3 5 2" xfId="2851" xr:uid="{4B44E8C9-390C-4028-984C-39CED04B3907}"/>
    <cellStyle name="Output 2 3 6" xfId="2691" xr:uid="{D7A8C1BA-5820-4054-935B-6ACEB451C413}"/>
    <cellStyle name="Output 2 3 6 2" xfId="2859" xr:uid="{B7C555FB-5A9D-4CE0-BE5F-46CA7633C0D9}"/>
    <cellStyle name="Output 2 3 7" xfId="2700" xr:uid="{1D51F285-950C-4A86-92B3-1D66EAB5DA87}"/>
    <cellStyle name="Output 2 3 7 2" xfId="2868" xr:uid="{031DDFCF-BE12-4344-878F-DAD5541D287B}"/>
    <cellStyle name="Output 2 3 8" xfId="2680" xr:uid="{484A0562-8E8B-4055-B1FB-DDD475B8952B}"/>
    <cellStyle name="Output 2 3 8 2" xfId="2848" xr:uid="{5A29FB82-876D-4629-8EA4-C502D9E2A819}"/>
    <cellStyle name="Output 2 3 9" xfId="2537" xr:uid="{B290C91B-A478-4115-ACC3-E41906C6FAB4}"/>
    <cellStyle name="Output 2 4" xfId="2579" xr:uid="{5AEE4F43-9760-4B6E-88D2-12C331D33CEC}"/>
    <cellStyle name="Output 2 4 2" xfId="2747" xr:uid="{68423DC0-25E1-4F19-82C8-B34DA616CBDB}"/>
    <cellStyle name="Output 2 5" xfId="2558" xr:uid="{ADD1C5CF-1712-4C8A-8295-5D081E9F8199}"/>
    <cellStyle name="Output 2 5 2" xfId="2726" xr:uid="{50F33EB5-B83F-4F54-9E86-275E50997E1A}"/>
    <cellStyle name="Output 2 6" xfId="2571" xr:uid="{ED5FF678-A167-4478-89C4-AA6B3548A239}"/>
    <cellStyle name="Output 2 6 2" xfId="2739" xr:uid="{B02148BB-2829-4C5E-A5B0-1148A39AE64C}"/>
    <cellStyle name="Output 2 7" xfId="2563" xr:uid="{DD48A377-9263-4FA9-87D0-FE5B1F4E31BA}"/>
    <cellStyle name="Output 2 7 2" xfId="2731" xr:uid="{285D7173-1C49-4475-A672-0DB0DE61A93E}"/>
    <cellStyle name="Output 2 8" xfId="2569" xr:uid="{D4AC1467-B1C3-484E-BBF2-4D418464E231}"/>
    <cellStyle name="Output 2 8 2" xfId="2737" xr:uid="{4FDB565B-59DF-4F4E-88EC-DA9369D55623}"/>
    <cellStyle name="Output 2 9" xfId="2566" xr:uid="{5BE52349-58A7-47EE-99AD-E5A80F468D08}"/>
    <cellStyle name="Output 2 9 2" xfId="2734" xr:uid="{FBA76486-F142-465C-826E-11DC56BA609B}"/>
    <cellStyle name="Percent" xfId="2506" builtinId="5"/>
    <cellStyle name="Percent [0]" xfId="2405" xr:uid="{E9EB2873-E701-4134-877D-075B6D6C1203}"/>
    <cellStyle name="Percent [00]" xfId="2406" xr:uid="{1D482E19-149F-410E-9605-AC88AF758336}"/>
    <cellStyle name="Percent [2]" xfId="2407" xr:uid="{F11EF413-EC99-4A3E-BF9D-5185EF573424}"/>
    <cellStyle name="Percent 10" xfId="2088" xr:uid="{188A179C-1557-4DD1-B513-9178549BFD65}"/>
    <cellStyle name="Percent 10 2" xfId="2089" xr:uid="{FB6AC4BE-77CB-46F2-B67D-B35BCB19E506}"/>
    <cellStyle name="Percent 10 2 2" xfId="2408" xr:uid="{671578E2-1490-4B4F-A3E3-706B2B49C179}"/>
    <cellStyle name="Percent 10 3" xfId="2409" xr:uid="{4EF6148F-CF15-47E6-92BF-02B124502A0F}"/>
    <cellStyle name="Percent 11" xfId="2090" xr:uid="{83CE71EA-85B3-4D89-8E5B-4126E0C41E99}"/>
    <cellStyle name="Percent 11 2" xfId="2091" xr:uid="{192AE31B-9076-489B-AE68-FD8FF968D1B4}"/>
    <cellStyle name="Percent 12" xfId="2092" xr:uid="{BD3EA7EF-5491-4893-AF30-5B5B07B2556F}"/>
    <cellStyle name="Percent 12 2" xfId="2410" xr:uid="{B637A866-7105-4882-853F-3300D7C7ACE7}"/>
    <cellStyle name="Percent 13" xfId="2128" xr:uid="{A40DBD1C-057C-4310-9EAE-A12D9E59D7AF}"/>
    <cellStyle name="Percent 14" xfId="2411" xr:uid="{A884D8FF-B9CE-449F-B998-F61E9A3ECBE1}"/>
    <cellStyle name="Percent 15" xfId="2412" xr:uid="{BDF7CBE4-C91A-494D-980D-20CAC6334B35}"/>
    <cellStyle name="Percent 15 2" xfId="2413" xr:uid="{B4A7ED91-F8C4-4035-A92D-B3F63E308BC6}"/>
    <cellStyle name="Percent 16" xfId="2414" xr:uid="{55792F45-A4EC-4135-A228-213CE9A9171D}"/>
    <cellStyle name="Percent 16 2" xfId="2415" xr:uid="{D6E3AED8-20E4-42A9-B9C0-6C93D229F125}"/>
    <cellStyle name="Percent 17" xfId="2416" xr:uid="{E6FAFF33-11E3-4361-9D84-BB2714870B9F}"/>
    <cellStyle name="Percent 17 2" xfId="2417" xr:uid="{EDC07DD6-CDF3-4CE7-B677-1D6EE0046A63}"/>
    <cellStyle name="Percent 18" xfId="2418" xr:uid="{C05C3068-EDE3-4DE9-A8D5-0E439E3CD42F}"/>
    <cellStyle name="Percent 19" xfId="2419" xr:uid="{2432F103-6C2E-49F4-ABD3-4394978EEC2E}"/>
    <cellStyle name="Percent 19 2" xfId="2420" xr:uid="{B0BC0F47-0E5A-47F0-9EC9-8BDFC17580DA}"/>
    <cellStyle name="Percent 2" xfId="56" xr:uid="{41F0792E-4530-4C23-8BF8-A89282D2E26D}"/>
    <cellStyle name="Percent 2 2" xfId="2094" xr:uid="{2EB5FA5E-8B97-4B39-855F-3BED6695B757}"/>
    <cellStyle name="Percent 2 2 10" xfId="2421" xr:uid="{1733E566-4189-4DC5-B7FE-D1E09B898745}"/>
    <cellStyle name="Percent 2 2 10 2" xfId="2422" xr:uid="{47AB84E2-E678-4F87-A5E7-753DF912A69D}"/>
    <cellStyle name="Percent 2 2 11" xfId="2423" xr:uid="{AC728684-44C4-4068-A675-F0CE56885BA4}"/>
    <cellStyle name="Percent 2 2 12" xfId="2424" xr:uid="{028139EC-AA24-46DD-98F1-A914D8DF8F0F}"/>
    <cellStyle name="Percent 2 2 13" xfId="2425" xr:uid="{46105A52-F81E-4EB8-A6D8-602F5FDF6365}"/>
    <cellStyle name="Percent 2 2 2" xfId="2426" xr:uid="{B538B533-CBFE-4CA4-BB10-DB363F777405}"/>
    <cellStyle name="Percent 2 2 2 2" xfId="2427" xr:uid="{2480486C-E06D-4D3C-A120-C1DB1084A491}"/>
    <cellStyle name="Percent 2 2 2 3" xfId="2428" xr:uid="{12BBC92E-A603-45C6-B485-AF13A38E052E}"/>
    <cellStyle name="Percent 2 2 2 4" xfId="2429" xr:uid="{A656434B-4871-4F80-A116-054F275D369B}"/>
    <cellStyle name="Percent 2 2 3" xfId="2430" xr:uid="{CDE3A78F-25B1-481B-BC3B-CCB89FF48F88}"/>
    <cellStyle name="Percent 2 2 4" xfId="2431" xr:uid="{D006ABF4-3DDF-430D-B2AF-E1A308312BA4}"/>
    <cellStyle name="Percent 2 2 5" xfId="2432" xr:uid="{CB7A2053-B5FC-4446-A462-20946326249C}"/>
    <cellStyle name="Percent 2 2 6" xfId="2433" xr:uid="{DC6F4A29-338F-4A27-876B-1BF13D09CF1E}"/>
    <cellStyle name="Percent 2 2 6 2" xfId="2434" xr:uid="{8294D9AC-7B5E-43FD-8EBF-EA4DBA3F3371}"/>
    <cellStyle name="Percent 2 2 7" xfId="2435" xr:uid="{75AC7F1D-5765-4A3A-835E-70EFC90A0825}"/>
    <cellStyle name="Percent 2 2 7 2" xfId="2436" xr:uid="{EFC2F661-F23C-4DF8-9036-C3A910A71445}"/>
    <cellStyle name="Percent 2 2 8" xfId="2437" xr:uid="{AAE8E966-9928-435B-B4D6-3B378136E616}"/>
    <cellStyle name="Percent 2 2 8 2" xfId="2438" xr:uid="{6F5FC386-18DC-4BF9-9DB6-BF906576B47F}"/>
    <cellStyle name="Percent 2 2 9" xfId="2439" xr:uid="{1EA9C4DC-5EB6-4FEF-BC9A-53F0583B38CF}"/>
    <cellStyle name="Percent 2 2 9 2" xfId="2440" xr:uid="{E3E9EDFC-1721-4492-BE98-2E6E27CFB82A}"/>
    <cellStyle name="Percent 2 3" xfId="2095" xr:uid="{70D300AA-0BF0-4C7B-ACB0-C1D59B2C7620}"/>
    <cellStyle name="Percent 2 3 2" xfId="2441" xr:uid="{7225A2C7-86C9-42F5-B8AB-39710195CD11}"/>
    <cellStyle name="Percent 2 3 3" xfId="2442" xr:uid="{6411BC63-FA43-45EE-BDCD-352880B56525}"/>
    <cellStyle name="Percent 2 3 4" xfId="2443" xr:uid="{0728E0C6-7DC2-4E35-B4D8-3D5070885D3F}"/>
    <cellStyle name="Percent 2 3 5" xfId="2444" xr:uid="{744976B5-E0CE-49A1-A55C-DA8040704F93}"/>
    <cellStyle name="Percent 2 4" xfId="2096" xr:uid="{5C510680-945C-4835-B131-C840D904B34B}"/>
    <cellStyle name="Percent 2 4 2" xfId="2445" xr:uid="{2C98BFCB-29AE-4DD9-AC99-799797F1333E}"/>
    <cellStyle name="Percent 2 5" xfId="2446" xr:uid="{D7D081B7-7517-4E99-8DCF-CC11C15D132E}"/>
    <cellStyle name="Percent 2 6" xfId="2447" xr:uid="{54A0C43C-8AE0-40B3-B539-0B9F184E8332}"/>
    <cellStyle name="Percent 2 6 2" xfId="2448" xr:uid="{FDAB883B-BEFB-40E2-8228-11FAB36E0A71}"/>
    <cellStyle name="Percent 2 6 3" xfId="2449" xr:uid="{2C331AB5-1148-4C74-BB9D-E7F8232B8608}"/>
    <cellStyle name="Percent 2 6 4" xfId="2450" xr:uid="{AB4B84D6-D327-481F-8A92-A058904A4D90}"/>
    <cellStyle name="Percent 2 7" xfId="2451" xr:uid="{036EA342-0E27-40A0-969C-81A264A30573}"/>
    <cellStyle name="Percent 2 8" xfId="2452" xr:uid="{F121C5C9-9385-416F-B49B-98B1135FA314}"/>
    <cellStyle name="Percent 2 9" xfId="2093" xr:uid="{3D21F1F0-EFA6-4499-9117-512C8212C6FE}"/>
    <cellStyle name="Percent 20" xfId="2453" xr:uid="{293A2DC2-E52B-4240-8A4D-17C03C1B1E35}"/>
    <cellStyle name="Percent 21" xfId="2454" xr:uid="{6C6FF718-F17E-408F-AAD9-E22F32F04294}"/>
    <cellStyle name="Percent 22" xfId="2455" xr:uid="{AE3AF66B-C2E0-41DE-93CE-9BCB11A300CE}"/>
    <cellStyle name="Percent 23" xfId="2875" xr:uid="{84C4BCEA-2569-443E-B03E-E491585E8A85}"/>
    <cellStyle name="Percent 3" xfId="55" xr:uid="{E5A38AF8-0198-4AE4-91BD-AB1349FE680D}"/>
    <cellStyle name="Percent 3 10" xfId="2097" xr:uid="{EF3A3BD7-47EB-4487-A439-B9404656CBED}"/>
    <cellStyle name="Percent 3 2" xfId="2098" xr:uid="{7264EF41-E4F1-480B-A60B-EFB932A0AB66}"/>
    <cellStyle name="Percent 3 2 2" xfId="2099" xr:uid="{73C29981-EB2A-4D94-A436-37B10586FBEE}"/>
    <cellStyle name="Percent 3 2 2 2" xfId="2100" xr:uid="{68828CDA-EA8B-4A88-A0EF-1E169368D0DF}"/>
    <cellStyle name="Percent 3 2 3" xfId="2101" xr:uid="{FC24BB88-9C81-4254-AFB1-5560FDDF32A5}"/>
    <cellStyle name="Percent 3 3" xfId="2102" xr:uid="{C1EE1F40-F795-4A3E-84A4-0357574219D3}"/>
    <cellStyle name="Percent 3 3 2" xfId="2103" xr:uid="{A8C1438A-3C98-4CB7-BAA7-E015AB5907DA}"/>
    <cellStyle name="Percent 3 4" xfId="2104" xr:uid="{73625960-3EEE-4C95-A670-E39FB665858B}"/>
    <cellStyle name="Percent 3 5" xfId="2456" xr:uid="{262F3167-E0A9-4D51-90D1-BAAC31515661}"/>
    <cellStyle name="Percent 3 6" xfId="2457" xr:uid="{03C6F48D-2370-42DB-BA27-FF59CB57AEC0}"/>
    <cellStyle name="Percent 3 7" xfId="2458" xr:uid="{FA86ACDA-7B5A-4D01-8DB6-2C57AE3E9612}"/>
    <cellStyle name="Percent 3 8" xfId="2459" xr:uid="{6857033C-DBFE-46B8-AFD8-C337F060A21F}"/>
    <cellStyle name="Percent 3 9" xfId="2460" xr:uid="{521D26E0-4B61-4711-A8C2-1FB5F3C2016E}"/>
    <cellStyle name="Percent 4" xfId="1996" xr:uid="{28525E97-8D37-49FF-BF29-BBFD72708265}"/>
    <cellStyle name="Percent 4 2" xfId="2106" xr:uid="{0A6367C5-BAEC-4E8A-A766-174EFED9D2D4}"/>
    <cellStyle name="Percent 4 2 2" xfId="2107" xr:uid="{9D5A0212-7A8A-4D15-9830-91F2A47A1579}"/>
    <cellStyle name="Percent 4 3" xfId="2108" xr:uid="{0C409BBC-587E-495A-A713-01B89C0C65B7}"/>
    <cellStyle name="Percent 4 4" xfId="2109" xr:uid="{C3F1F121-6ED6-4D15-92C2-8AE0DC5499A1}"/>
    <cellStyle name="Percent 4 5" xfId="2461" xr:uid="{39E68C4C-AA15-49F9-B884-107636DFB90B}"/>
    <cellStyle name="Percent 4 6" xfId="2105" xr:uid="{A88566E9-FF4F-4776-B5E8-BF9D6B2D9297}"/>
    <cellStyle name="Percent 5" xfId="2110" xr:uid="{00813211-14C1-4CF3-AE51-A1F7DCD2172A}"/>
    <cellStyle name="Percent 5 2" xfId="2111" xr:uid="{0B98ED52-4406-4400-9CC3-6EF53F2E62EB}"/>
    <cellStyle name="Percent 5 2 2" xfId="2112" xr:uid="{32C04909-7890-4A67-9EA4-D35A2B3956E2}"/>
    <cellStyle name="Percent 5 2 2 2" xfId="2113" xr:uid="{BD76EFC9-F374-40AC-B6AD-CA1E708934FC}"/>
    <cellStyle name="Percent 5 2 3" xfId="2114" xr:uid="{A94CCEA6-FF77-4AF8-8CEC-5902C9228847}"/>
    <cellStyle name="Percent 5 3" xfId="2115" xr:uid="{8AF76F56-1EB0-4DAF-BA6B-6D6F467D9272}"/>
    <cellStyle name="Percent 5 3 2" xfId="2116" xr:uid="{48310011-4730-41AC-92DE-93B392C8B453}"/>
    <cellStyle name="Percent 5 4" xfId="2117" xr:uid="{E77870D9-823D-43DA-BABF-E08CF75E4FE7}"/>
    <cellStyle name="Percent 6" xfId="2118" xr:uid="{BA5559B2-A047-4856-8667-2C600C4355A1}"/>
    <cellStyle name="Percent 6 2" xfId="2119" xr:uid="{F29AA508-9451-47A8-B5A6-7238375083D2}"/>
    <cellStyle name="Percent 6 2 2" xfId="2120" xr:uid="{2119C079-FF42-4EE4-8AA6-F3E2D943B797}"/>
    <cellStyle name="Percent 6 3" xfId="2121" xr:uid="{01D69744-B6E1-4848-9486-65C8FE89F215}"/>
    <cellStyle name="Percent 7" xfId="2122" xr:uid="{F33980EE-5590-45E9-9B39-97E4FA218578}"/>
    <cellStyle name="Percent 7 2" xfId="2123" xr:uid="{FBCAC7C2-275A-457A-996E-A618D2D0884F}"/>
    <cellStyle name="Percent 8" xfId="2124" xr:uid="{D26AD8F6-E702-45D6-A4EC-60CAC14E8063}"/>
    <cellStyle name="Percent 8 2" xfId="2462" xr:uid="{98C36D6F-BCB2-473F-A20F-6ECD2ADFEBFD}"/>
    <cellStyle name="Percent 9" xfId="2125" xr:uid="{23FBDD51-8E9E-4632-8D21-DEB4B348838E}"/>
    <cellStyle name="Percent 9 2" xfId="2463" xr:uid="{CC31EF29-EC3B-4C22-BAEC-B42C277BEEFE}"/>
    <cellStyle name="Percent 9 3" xfId="2464" xr:uid="{A20943D8-A606-4D6C-870C-0B6A3E3EF308}"/>
    <cellStyle name="Possible Duplicates" xfId="2501" xr:uid="{86071399-B9F3-4971-AE0B-43269D6BEA4D}"/>
    <cellStyle name="Possible Duplicates 2" xfId="2663" xr:uid="{CAD621F0-18F9-43CE-83A4-8BC2291FEECD}"/>
    <cellStyle name="Possible Duplicates 2 2" xfId="2831" xr:uid="{C9C8903A-421E-4346-883C-DFCC065DA730}"/>
    <cellStyle name="Possible Duplicates 3" xfId="2679" xr:uid="{D5380946-82D8-4F09-9DB4-B7D6665B49AB}"/>
    <cellStyle name="Possible Duplicates 3 2" xfId="2847" xr:uid="{B2849EDC-CB69-488D-B4B4-708E54AEBE18}"/>
    <cellStyle name="Possible Duplicates 4" xfId="2688" xr:uid="{A9149878-44E4-4F55-AAFA-A57462848181}"/>
    <cellStyle name="Possible Duplicates 4 2" xfId="2856" xr:uid="{83A2DE3A-D4CF-4070-8399-207D1B6C20AE}"/>
    <cellStyle name="Possible Duplicates 5" xfId="2706" xr:uid="{F9FC1B3A-A9DE-4022-AEA4-AC5DCC2CFA84}"/>
    <cellStyle name="Possible Duplicates 5 2" xfId="2874" xr:uid="{7D807288-F74A-4F52-9E34-43B734FC224C}"/>
    <cellStyle name="PrePop Currency (0)" xfId="2465" xr:uid="{6C959CA6-A5D9-4D2A-B16D-FAD39F2ACC7C}"/>
    <cellStyle name="PrePop Currency (2)" xfId="2466" xr:uid="{C4244548-A96F-4FBD-B0BC-00996441DC94}"/>
    <cellStyle name="PrePop Units (0)" xfId="2467" xr:uid="{9C22865D-73E8-483B-99BF-51A74508B59C}"/>
    <cellStyle name="PrePop Units (1)" xfId="2468" xr:uid="{29C4E0A5-E0DE-4FCB-9066-8FDD33F42AD5}"/>
    <cellStyle name="PrePop Units (2)" xfId="2469" xr:uid="{B612DE2B-0D88-4678-B23E-1B37E954A445}"/>
    <cellStyle name="RowLabel" xfId="2470" xr:uid="{69A8CD0B-0CAA-45F2-B6B5-F66235E10BD6}"/>
    <cellStyle name="Text Indent A" xfId="2471" xr:uid="{C92B94DB-1C41-4A4F-8115-2A81A6388D73}"/>
    <cellStyle name="Text Indent B" xfId="2472" xr:uid="{2107D7BC-4876-494A-A10D-BFB91DF6F52D}"/>
    <cellStyle name="Text Indent C" xfId="2473" xr:uid="{117305BA-AC54-4BD6-B380-F44CD8E89612}"/>
    <cellStyle name="Title 2" xfId="1997" xr:uid="{142364C2-0D9D-48D2-BA72-4002A0FB18D8}"/>
    <cellStyle name="Title 3" xfId="38" xr:uid="{173B5387-94BE-43DB-AFD1-47CFC984759A}"/>
    <cellStyle name="Total" xfId="19" builtinId="25" customBuiltin="1"/>
    <cellStyle name="Total 2" xfId="1998" xr:uid="{3B54589E-50EC-4A1A-BF2C-96B368FA85B4}"/>
    <cellStyle name="Total 2 10" xfId="2520" xr:uid="{EBC148C9-6DCD-45AB-9617-1ABAFD43DC5C}"/>
    <cellStyle name="Total 2 11" xfId="2515" xr:uid="{B0F7FCEC-7C5F-49F7-AAB3-957279DEE957}"/>
    <cellStyle name="Total 2 2" xfId="2474" xr:uid="{AA4A6583-E781-44CD-AA20-823F6A6C9926}"/>
    <cellStyle name="Total 2 3" xfId="2580" xr:uid="{C35F08EF-7049-4642-9A9B-4860119D3976}"/>
    <cellStyle name="Total 2 3 2" xfId="2748" xr:uid="{0194D1BC-6E1F-491D-8ACC-6A0DAB7AA7D7}"/>
    <cellStyle name="Total 2 4" xfId="2557" xr:uid="{D791047F-001E-40D1-AD14-911FEFFB03D5}"/>
    <cellStyle name="Total 2 4 2" xfId="2725" xr:uid="{BE8B0A8C-AFA9-432F-97CB-39ADEE88A843}"/>
    <cellStyle name="Total 2 5" xfId="2572" xr:uid="{49D27D15-B93B-425A-ADA1-F063951C6ED7}"/>
    <cellStyle name="Total 2 5 2" xfId="2740" xr:uid="{A50710B0-36F7-417F-B2B4-74FADD1C234D}"/>
    <cellStyle name="Total 2 6" xfId="2562" xr:uid="{87694007-AF77-4479-A9D2-79A1C2CC512B}"/>
    <cellStyle name="Total 2 6 2" xfId="2730" xr:uid="{F2978207-FC14-4F32-B9B1-0AD6752A7BB1}"/>
    <cellStyle name="Total 2 7" xfId="2633" xr:uid="{F2CE33BA-304C-4D23-908A-C5D9BFC0BBCC}"/>
    <cellStyle name="Total 2 7 2" xfId="2801" xr:uid="{570BE299-397F-4E4F-952D-213146F3B762}"/>
    <cellStyle name="Total 2 8" xfId="2565" xr:uid="{3830E786-45D3-4117-9610-1D1F8DF35E05}"/>
    <cellStyle name="Total 2 8 2" xfId="2733" xr:uid="{615A5AEF-31B8-40D1-9FF3-1E6D4A30A858}"/>
    <cellStyle name="Total 2 9" xfId="2664" xr:uid="{8D69184F-74B2-40AC-9A49-E257DF020631}"/>
    <cellStyle name="Total 2 9 2" xfId="2832" xr:uid="{E1217CD1-FD48-4736-833C-44BB0526E42E}"/>
    <cellStyle name="Unprot" xfId="2475" xr:uid="{CF7E6F32-BA48-46DC-BEDE-2DA9B39E0EAB}"/>
    <cellStyle name="Unprot 2" xfId="2476" xr:uid="{35E0DBF3-47A3-476F-B360-23DC0CB9E12C}"/>
    <cellStyle name="Unprot$" xfId="2477" xr:uid="{62CA1E49-718A-4E41-931B-958199C4AB28}"/>
    <cellStyle name="Unprotect" xfId="2478" xr:uid="{9A87BADA-3324-4003-9FEE-7748A05D479E}"/>
    <cellStyle name="Warning Text" xfId="16" builtinId="11" customBuiltin="1"/>
    <cellStyle name="Warning Text 2" xfId="1999" xr:uid="{B3346552-8DE4-4FC9-A3D9-E59223C77068}"/>
  </cellStyles>
  <dxfs count="25">
    <dxf>
      <font>
        <color theme="0" tint="-0.14996795556505021"/>
      </font>
    </dxf>
    <dxf>
      <font>
        <color theme="0" tint="-0.14996795556505021"/>
      </font>
    </dxf>
    <dxf>
      <font>
        <color theme="0" tint="-0.14996795556505021"/>
      </font>
    </dxf>
    <dxf>
      <font>
        <color theme="0" tint="-0.14996795556505021"/>
      </font>
    </dxf>
    <dxf>
      <fill>
        <patternFill>
          <bgColor theme="0" tint="-0.14996795556505021"/>
        </patternFill>
      </fill>
    </dxf>
    <dxf>
      <fill>
        <patternFill>
          <bgColor rgb="FFFFF49F"/>
        </patternFill>
      </fill>
    </dxf>
    <dxf>
      <font>
        <color theme="0" tint="-0.14996795556505021"/>
      </font>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s>
  <tableStyles count="0" defaultTableStyle="TableStyleMedium2" defaultPivotStyle="PivotStyleLight16"/>
  <colors>
    <mruColors>
      <color rgb="FFFBE9B7"/>
      <color rgb="FFFFF2CC"/>
      <color rgb="FFFFF49F"/>
      <color rgb="FFFCFBD5"/>
      <color rgb="FF6A6A6A"/>
      <color rgb="FFAECECA"/>
      <color rgb="FFFFFDB5"/>
      <color rgb="FFC3DBD8"/>
      <color rgb="FF97C3B5"/>
      <color rgb="FFF7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834390</xdr:colOff>
      <xdr:row>15</xdr:row>
      <xdr:rowOff>163830</xdr:rowOff>
    </xdr:from>
    <xdr:to>
      <xdr:col>2</xdr:col>
      <xdr:colOff>1386840</xdr:colOff>
      <xdr:row>20</xdr:row>
      <xdr:rowOff>161793</xdr:rowOff>
    </xdr:to>
    <xdr:pic>
      <xdr:nvPicPr>
        <xdr:cNvPr id="2" name="Picture 1" descr="Delaware Sustainable Energy Utility - Coalition for Green Capital">
          <a:extLst>
            <a:ext uri="{FF2B5EF4-FFF2-40B4-BE49-F238E27FC236}">
              <a16:creationId xmlns:a16="http://schemas.microsoft.com/office/drawing/2014/main" id="{35D73782-9ABA-4918-BD9D-ACCA9CDBBFF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8" t="34452" r="-248" b="36242"/>
        <a:stretch/>
      </xdr:blipFill>
      <xdr:spPr bwMode="auto">
        <a:xfrm>
          <a:off x="1139190" y="2992755"/>
          <a:ext cx="2747010" cy="891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2"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311859</xdr:colOff>
      <xdr:row>0</xdr:row>
      <xdr:rowOff>103846</xdr:rowOff>
    </xdr:from>
    <xdr:to>
      <xdr:col>0</xdr:col>
      <xdr:colOff>2078803</xdr:colOff>
      <xdr:row>5</xdr:row>
      <xdr:rowOff>98947</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1859" y="103846"/>
          <a:ext cx="1763134" cy="85055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57293</xdr:rowOff>
    </xdr:from>
    <xdr:to>
      <xdr:col>0</xdr:col>
      <xdr:colOff>1445894</xdr:colOff>
      <xdr:row>3</xdr:row>
      <xdr:rowOff>15240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7625" y="57293"/>
          <a:ext cx="1398269" cy="5446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11207</xdr:colOff>
      <xdr:row>154</xdr:row>
      <xdr:rowOff>44823</xdr:rowOff>
    </xdr:from>
    <xdr:to>
      <xdr:col>5</xdr:col>
      <xdr:colOff>1344707</xdr:colOff>
      <xdr:row>181</xdr:row>
      <xdr:rowOff>44803</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clrChange>
            <a:clrFrom>
              <a:srgbClr val="E8E8F4"/>
            </a:clrFrom>
            <a:clrTo>
              <a:srgbClr val="E8E8F4">
                <a:alpha val="0"/>
              </a:srgbClr>
            </a:clrTo>
          </a:clrChange>
          <a:extLst>
            <a:ext uri="{28A0092B-C50C-407E-A947-70E740481C1C}">
              <a14:useLocalDpi xmlns:a14="http://schemas.microsoft.com/office/drawing/2010/main" val="0"/>
            </a:ext>
          </a:extLst>
        </a:blip>
        <a:srcRect/>
        <a:stretch>
          <a:fillRect/>
        </a:stretch>
      </xdr:blipFill>
      <xdr:spPr bwMode="auto">
        <a:xfrm>
          <a:off x="3350560" y="29045647"/>
          <a:ext cx="4919382" cy="5121068"/>
        </a:xfrm>
        <a:prstGeom prst="rect">
          <a:avLst/>
        </a:prstGeom>
        <a:noFill/>
        <a:ln w="25400" algn="ctr">
          <a:solidFill>
            <a:srgbClr val="0000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11207</xdr:colOff>
      <xdr:row>154</xdr:row>
      <xdr:rowOff>44823</xdr:rowOff>
    </xdr:from>
    <xdr:to>
      <xdr:col>5</xdr:col>
      <xdr:colOff>1344707</xdr:colOff>
      <xdr:row>181</xdr:row>
      <xdr:rowOff>44803</xdr:rowOff>
    </xdr:to>
    <xdr:pic>
      <xdr:nvPicPr>
        <xdr:cNvPr id="2" name="Picture 1">
          <a:extLst>
            <a:ext uri="{FF2B5EF4-FFF2-40B4-BE49-F238E27FC236}">
              <a16:creationId xmlns:a16="http://schemas.microsoft.com/office/drawing/2014/main" id="{427E9EC2-1F36-406D-8B15-E95A9B68E903}"/>
            </a:ext>
          </a:extLst>
        </xdr:cNvPr>
        <xdr:cNvPicPr>
          <a:picLocks noChangeAspect="1" noChangeArrowheads="1"/>
        </xdr:cNvPicPr>
      </xdr:nvPicPr>
      <xdr:blipFill>
        <a:blip xmlns:r="http://schemas.openxmlformats.org/officeDocument/2006/relationships" r:embed="rId1">
          <a:clrChange>
            <a:clrFrom>
              <a:srgbClr val="E8E8F4"/>
            </a:clrFrom>
            <a:clrTo>
              <a:srgbClr val="E8E8F4">
                <a:alpha val="0"/>
              </a:srgbClr>
            </a:clrTo>
          </a:clrChange>
          <a:extLst>
            <a:ext uri="{28A0092B-C50C-407E-A947-70E740481C1C}">
              <a14:useLocalDpi xmlns:a14="http://schemas.microsoft.com/office/drawing/2010/main" val="0"/>
            </a:ext>
          </a:extLst>
        </a:blip>
        <a:srcRect/>
        <a:stretch>
          <a:fillRect/>
        </a:stretch>
      </xdr:blipFill>
      <xdr:spPr bwMode="auto">
        <a:xfrm>
          <a:off x="3354482" y="29124648"/>
          <a:ext cx="4924425" cy="5124430"/>
        </a:xfrm>
        <a:prstGeom prst="rect">
          <a:avLst/>
        </a:prstGeom>
        <a:noFill/>
        <a:ln w="25400" algn="ctr">
          <a:solidFill>
            <a:srgbClr val="0000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earesult5.sharepoint.com/Users/Bitul.Sinha/AppData/Local/Microsoft/Windows/Temporary%20Internet%20Files/Content.Outlook/B6FBBWGN/PE%20HVAC%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elissa_dennis_clearesult_com/Documents/DNREC%20EEIF/Applications/OneDrive_1_1-6-2021/DNREC%20Lighting%20App%20V1.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colli\Desktop\60%25%20Cap\EEIF_HVAC_Application_Energy_Calculator%20V5.xlsx" TargetMode="External"/><Relationship Id="rId2" Type="http://schemas.microsoft.com/office/2019/04/relationships/externalLinkLongPath" Target="Ready%20for%20Review/EEIF_HVAC_Application_Energy_Calculator%20V5.xlsx?2981D027" TargetMode="External"/><Relationship Id="rId1" Type="http://schemas.openxmlformats.org/officeDocument/2006/relationships/externalLinkPath" Target="file:///\\2981D027\EEIF_HVAC_Application_Energy_Calculator%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learesult5.sharepoint.com/sites/MidAtlanticEngineering/Shared%20Documents/Potomac%20Edison/Phase%20V/!Archive/Phase%20IV%20calculators/HVAC-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Introduction"/>
      <sheetName val="Incentive Levels"/>
      <sheetName val="Applicant Information"/>
      <sheetName val="Project Information"/>
      <sheetName val="Methodology"/>
      <sheetName val="Calculator Instructions"/>
      <sheetName val="Fixture Codes"/>
      <sheetName val="Calculator"/>
      <sheetName val="Hours of Operation"/>
      <sheetName val="Project Info &amp; Summary"/>
      <sheetName val="Prescriptive Rebate Table"/>
      <sheetName val="Lookups"/>
      <sheetName val="Version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pproved Pre-Rinse Sprayers"/>
      <sheetName val="Summary"/>
      <sheetName val="Calculator Instructions"/>
      <sheetName val="Incentive Levels"/>
      <sheetName val="Air Conditioners"/>
      <sheetName val="Air Source Heat Pumps"/>
      <sheetName val="Ductless Mini Splits"/>
      <sheetName val="PTAC &amp; PTHP"/>
      <sheetName val="Chillers"/>
      <sheetName val="Gas Furnace"/>
      <sheetName val="Condensing Unit Heater"/>
      <sheetName val="Infrared Heaters"/>
      <sheetName val="Gas Boiler"/>
      <sheetName val="Tankless Water Heater"/>
      <sheetName val="High Efficiency Indirect"/>
      <sheetName val="Condensing - Stand Alone"/>
      <sheetName val="Pre-Rinse Spray Valves"/>
      <sheetName val="Boiler Controls"/>
      <sheetName val="Steam Boiler Traps"/>
      <sheetName val="VFDs"/>
      <sheetName val="Smart Thermostat"/>
      <sheetName val="Chiller Tune-Up"/>
      <sheetName val="Boiler Tune-Up"/>
      <sheetName val="AC Tune-Up &lt; 65k"/>
      <sheetName val="Dual Enthalpy Economizer"/>
      <sheetName val="Lookups"/>
      <sheetName val="Ver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43">
          <cell r="B143">
            <v>19701</v>
          </cell>
          <cell r="C143">
            <v>19901</v>
          </cell>
        </row>
        <row r="144">
          <cell r="B144">
            <v>19702</v>
          </cell>
          <cell r="C144">
            <v>19902</v>
          </cell>
        </row>
        <row r="145">
          <cell r="B145">
            <v>19703</v>
          </cell>
          <cell r="C145">
            <v>19903</v>
          </cell>
        </row>
        <row r="146">
          <cell r="B146">
            <v>19706</v>
          </cell>
          <cell r="C146">
            <v>19904</v>
          </cell>
        </row>
        <row r="147">
          <cell r="B147">
            <v>19707</v>
          </cell>
          <cell r="C147">
            <v>19905</v>
          </cell>
        </row>
        <row r="148">
          <cell r="B148">
            <v>19708</v>
          </cell>
          <cell r="C148">
            <v>19906</v>
          </cell>
        </row>
        <row r="149">
          <cell r="B149">
            <v>19709</v>
          </cell>
          <cell r="C149">
            <v>19934</v>
          </cell>
        </row>
        <row r="150">
          <cell r="B150">
            <v>19710</v>
          </cell>
          <cell r="C150">
            <v>19936</v>
          </cell>
        </row>
        <row r="151">
          <cell r="B151">
            <v>19711</v>
          </cell>
          <cell r="C151">
            <v>19938</v>
          </cell>
        </row>
        <row r="152">
          <cell r="B152">
            <v>19712</v>
          </cell>
          <cell r="C152">
            <v>19943</v>
          </cell>
        </row>
        <row r="153">
          <cell r="B153">
            <v>19713</v>
          </cell>
          <cell r="C153">
            <v>19946</v>
          </cell>
        </row>
        <row r="154">
          <cell r="B154">
            <v>19714</v>
          </cell>
          <cell r="C154">
            <v>19952</v>
          </cell>
        </row>
        <row r="155">
          <cell r="B155">
            <v>19715</v>
          </cell>
          <cell r="C155">
            <v>19953</v>
          </cell>
        </row>
        <row r="156">
          <cell r="B156">
            <v>19716</v>
          </cell>
          <cell r="C156">
            <v>19954</v>
          </cell>
        </row>
        <row r="157">
          <cell r="B157">
            <v>19717</v>
          </cell>
          <cell r="C157">
            <v>19955</v>
          </cell>
        </row>
        <row r="158">
          <cell r="B158">
            <v>19718</v>
          </cell>
          <cell r="C158">
            <v>19961</v>
          </cell>
        </row>
        <row r="159">
          <cell r="B159">
            <v>19720</v>
          </cell>
          <cell r="C159">
            <v>19962</v>
          </cell>
        </row>
        <row r="160">
          <cell r="B160">
            <v>19721</v>
          </cell>
          <cell r="C160">
            <v>19964</v>
          </cell>
        </row>
        <row r="161">
          <cell r="B161">
            <v>19725</v>
          </cell>
          <cell r="C161">
            <v>19977</v>
          </cell>
        </row>
        <row r="162">
          <cell r="B162">
            <v>19726</v>
          </cell>
          <cell r="C162">
            <v>19979</v>
          </cell>
        </row>
        <row r="163">
          <cell r="B163">
            <v>19730</v>
          </cell>
          <cell r="C163">
            <v>19980</v>
          </cell>
        </row>
        <row r="164">
          <cell r="B164">
            <v>19731</v>
          </cell>
          <cell r="C164" t="str">
            <v>Sussex</v>
          </cell>
        </row>
        <row r="165">
          <cell r="B165">
            <v>19732</v>
          </cell>
          <cell r="C165">
            <v>19930</v>
          </cell>
        </row>
        <row r="166">
          <cell r="B166">
            <v>19733</v>
          </cell>
          <cell r="C166">
            <v>19931</v>
          </cell>
        </row>
        <row r="167">
          <cell r="B167">
            <v>19734</v>
          </cell>
          <cell r="C167">
            <v>19933</v>
          </cell>
        </row>
        <row r="168">
          <cell r="B168">
            <v>19735</v>
          </cell>
          <cell r="C168">
            <v>19939</v>
          </cell>
        </row>
        <row r="169">
          <cell r="B169">
            <v>19736</v>
          </cell>
          <cell r="C169">
            <v>19940</v>
          </cell>
        </row>
        <row r="170">
          <cell r="B170">
            <v>19801</v>
          </cell>
          <cell r="C170">
            <v>19941</v>
          </cell>
        </row>
        <row r="171">
          <cell r="B171">
            <v>19802</v>
          </cell>
          <cell r="C171">
            <v>19944</v>
          </cell>
        </row>
        <row r="172">
          <cell r="B172">
            <v>19803</v>
          </cell>
          <cell r="C172">
            <v>19945</v>
          </cell>
        </row>
        <row r="173">
          <cell r="B173">
            <v>19804</v>
          </cell>
          <cell r="C173">
            <v>19947</v>
          </cell>
        </row>
        <row r="174">
          <cell r="B174">
            <v>19805</v>
          </cell>
          <cell r="C174">
            <v>19950</v>
          </cell>
        </row>
        <row r="175">
          <cell r="B175">
            <v>19806</v>
          </cell>
          <cell r="C175">
            <v>19951</v>
          </cell>
        </row>
        <row r="176">
          <cell r="B176">
            <v>19807</v>
          </cell>
          <cell r="C176">
            <v>19956</v>
          </cell>
        </row>
        <row r="177">
          <cell r="B177">
            <v>19808</v>
          </cell>
          <cell r="C177">
            <v>19958</v>
          </cell>
        </row>
        <row r="178">
          <cell r="B178">
            <v>19809</v>
          </cell>
          <cell r="C178">
            <v>19960</v>
          </cell>
        </row>
        <row r="179">
          <cell r="B179">
            <v>19810</v>
          </cell>
          <cell r="C179">
            <v>19963</v>
          </cell>
        </row>
        <row r="180">
          <cell r="B180">
            <v>19850</v>
          </cell>
          <cell r="C180">
            <v>19966</v>
          </cell>
        </row>
        <row r="181">
          <cell r="B181">
            <v>19880</v>
          </cell>
          <cell r="C181">
            <v>19967</v>
          </cell>
        </row>
        <row r="182">
          <cell r="B182">
            <v>19884</v>
          </cell>
          <cell r="C182">
            <v>19968</v>
          </cell>
        </row>
        <row r="183">
          <cell r="B183">
            <v>19885</v>
          </cell>
          <cell r="C183">
            <v>19969</v>
          </cell>
        </row>
        <row r="184">
          <cell r="B184">
            <v>19886</v>
          </cell>
          <cell r="C184">
            <v>19970</v>
          </cell>
        </row>
        <row r="185">
          <cell r="B185">
            <v>19887</v>
          </cell>
          <cell r="C185">
            <v>19971</v>
          </cell>
        </row>
        <row r="186">
          <cell r="B186">
            <v>19889</v>
          </cell>
          <cell r="C186">
            <v>19973</v>
          </cell>
        </row>
        <row r="187">
          <cell r="B187">
            <v>19890</v>
          </cell>
          <cell r="C187">
            <v>19975</v>
          </cell>
        </row>
        <row r="188">
          <cell r="B188">
            <v>19891</v>
          </cell>
        </row>
        <row r="189">
          <cell r="B189">
            <v>19892</v>
          </cell>
        </row>
        <row r="190">
          <cell r="B190">
            <v>19893</v>
          </cell>
        </row>
        <row r="191">
          <cell r="B191">
            <v>19894</v>
          </cell>
        </row>
        <row r="192">
          <cell r="B192">
            <v>19895</v>
          </cell>
        </row>
        <row r="193">
          <cell r="B193">
            <v>19896</v>
          </cell>
        </row>
        <row r="194">
          <cell r="B194">
            <v>19897</v>
          </cell>
        </row>
        <row r="195">
          <cell r="B195">
            <v>19898</v>
          </cell>
        </row>
        <row r="196">
          <cell r="B196">
            <v>19899</v>
          </cell>
        </row>
        <row r="209">
          <cell r="B209" t="str">
            <v>None</v>
          </cell>
          <cell r="C209" t="str">
            <v>None</v>
          </cell>
        </row>
        <row r="210">
          <cell r="B210" t="str">
            <v>Air Source Heat Pump</v>
          </cell>
          <cell r="C210" t="str">
            <v>Air Source Heat Pump</v>
          </cell>
        </row>
        <row r="211">
          <cell r="B211" t="str">
            <v>Air Source Air Conditioner</v>
          </cell>
          <cell r="C211" t="str">
            <v>Electric Resistance</v>
          </cell>
        </row>
        <row r="212">
          <cell r="B212" t="str">
            <v>Water Cooled Air Conditioner</v>
          </cell>
          <cell r="C212" t="str">
            <v>Non-Electric</v>
          </cell>
        </row>
        <row r="222">
          <cell r="K222" t="str">
            <v>Fan</v>
          </cell>
        </row>
        <row r="223">
          <cell r="K223" t="str">
            <v>Chilled Water Pump</v>
          </cell>
        </row>
        <row r="224">
          <cell r="K224" t="str">
            <v>Heating Hot Water Pump</v>
          </cell>
        </row>
        <row r="229">
          <cell r="L229">
            <v>0</v>
          </cell>
          <cell r="M229">
            <v>0.01</v>
          </cell>
          <cell r="N229">
            <v>5.5E-2</v>
          </cell>
          <cell r="O229">
            <v>0.155</v>
          </cell>
          <cell r="P229">
            <v>0.22</v>
          </cell>
          <cell r="Q229">
            <v>0.25</v>
          </cell>
          <cell r="R229">
            <v>0.19</v>
          </cell>
          <cell r="S229">
            <v>8.5000000000000006E-2</v>
          </cell>
          <cell r="T229">
            <v>0.03</v>
          </cell>
          <cell r="U229">
            <v>5.0000000000000001E-3</v>
          </cell>
        </row>
        <row r="230">
          <cell r="K230" t="str">
            <v>No Control or Bypass Damper</v>
          </cell>
          <cell r="L230">
            <v>1</v>
          </cell>
          <cell r="M230">
            <v>1</v>
          </cell>
          <cell r="N230">
            <v>1</v>
          </cell>
          <cell r="O230">
            <v>1</v>
          </cell>
          <cell r="P230">
            <v>1</v>
          </cell>
          <cell r="Q230">
            <v>1</v>
          </cell>
          <cell r="R230">
            <v>1</v>
          </cell>
          <cell r="S230">
            <v>1</v>
          </cell>
          <cell r="T230">
            <v>1</v>
          </cell>
          <cell r="U230">
            <v>1</v>
          </cell>
        </row>
        <row r="231">
          <cell r="K231" t="str">
            <v>Discharge Dampers</v>
          </cell>
          <cell r="L231">
            <v>0.46</v>
          </cell>
          <cell r="M231">
            <v>0.55000000000000004</v>
          </cell>
          <cell r="N231">
            <v>0.63</v>
          </cell>
          <cell r="O231">
            <v>0.7</v>
          </cell>
          <cell r="P231">
            <v>0.77</v>
          </cell>
          <cell r="Q231">
            <v>0.83</v>
          </cell>
          <cell r="R231">
            <v>0.88</v>
          </cell>
          <cell r="S231">
            <v>0.93</v>
          </cell>
          <cell r="T231">
            <v>0.97</v>
          </cell>
          <cell r="U231">
            <v>1</v>
          </cell>
        </row>
        <row r="232">
          <cell r="C232">
            <v>4056</v>
          </cell>
          <cell r="D232">
            <v>1878</v>
          </cell>
          <cell r="E232">
            <v>5376</v>
          </cell>
          <cell r="K232" t="str">
            <v>Outlet Damper, BI &amp; Airfoil Fans</v>
          </cell>
          <cell r="L232">
            <v>0.53</v>
          </cell>
          <cell r="M232">
            <v>0.53</v>
          </cell>
          <cell r="N232">
            <v>0.56999999999999995</v>
          </cell>
          <cell r="O232">
            <v>0.64</v>
          </cell>
          <cell r="P232">
            <v>0.72</v>
          </cell>
          <cell r="Q232">
            <v>0.8</v>
          </cell>
          <cell r="R232">
            <v>0.89</v>
          </cell>
          <cell r="S232">
            <v>0.96</v>
          </cell>
          <cell r="T232">
            <v>1.02</v>
          </cell>
          <cell r="U232">
            <v>1.05</v>
          </cell>
        </row>
        <row r="233">
          <cell r="C233">
            <v>2854</v>
          </cell>
          <cell r="D233">
            <v>1445</v>
          </cell>
          <cell r="E233">
            <v>5376</v>
          </cell>
          <cell r="K233" t="str">
            <v>Inlet Damper Box</v>
          </cell>
          <cell r="L233">
            <v>0.56000000000000005</v>
          </cell>
          <cell r="M233">
            <v>0.6</v>
          </cell>
          <cell r="N233">
            <v>0.62</v>
          </cell>
          <cell r="O233">
            <v>0.64</v>
          </cell>
          <cell r="P233">
            <v>0.66</v>
          </cell>
          <cell r="Q233">
            <v>0.69</v>
          </cell>
          <cell r="R233">
            <v>0.74</v>
          </cell>
          <cell r="S233">
            <v>0.81</v>
          </cell>
          <cell r="T233">
            <v>0.92</v>
          </cell>
          <cell r="U233">
            <v>1.07</v>
          </cell>
        </row>
        <row r="234">
          <cell r="C234">
            <v>3748</v>
          </cell>
          <cell r="D234">
            <v>1767</v>
          </cell>
          <cell r="E234">
            <v>5376</v>
          </cell>
          <cell r="K234" t="str">
            <v>Inlet Guide Vane, BI &amp; Airfoil Fans</v>
          </cell>
          <cell r="L234">
            <v>0.53</v>
          </cell>
          <cell r="M234">
            <v>0.56000000000000005</v>
          </cell>
          <cell r="N234">
            <v>0.56999999999999995</v>
          </cell>
          <cell r="O234">
            <v>0.59</v>
          </cell>
          <cell r="P234">
            <v>0.6</v>
          </cell>
          <cell r="Q234">
            <v>0.62</v>
          </cell>
          <cell r="R234">
            <v>0.67</v>
          </cell>
          <cell r="S234">
            <v>0.74</v>
          </cell>
          <cell r="T234">
            <v>0.85</v>
          </cell>
          <cell r="U234">
            <v>1</v>
          </cell>
        </row>
        <row r="235">
          <cell r="C235">
            <v>1955</v>
          </cell>
          <cell r="D235">
            <v>1121</v>
          </cell>
          <cell r="E235">
            <v>5376</v>
          </cell>
          <cell r="K235" t="str">
            <v>Inlet Vane Dampers</v>
          </cell>
          <cell r="L235">
            <v>0.38</v>
          </cell>
          <cell r="M235">
            <v>0.4</v>
          </cell>
          <cell r="N235">
            <v>0.42</v>
          </cell>
          <cell r="O235">
            <v>0.44</v>
          </cell>
          <cell r="P235">
            <v>0.48</v>
          </cell>
          <cell r="Q235">
            <v>0.53</v>
          </cell>
          <cell r="R235">
            <v>0.6</v>
          </cell>
          <cell r="S235">
            <v>0.7</v>
          </cell>
          <cell r="T235">
            <v>0.83</v>
          </cell>
          <cell r="U235">
            <v>0.99</v>
          </cell>
        </row>
        <row r="236">
          <cell r="C236">
            <v>6376</v>
          </cell>
          <cell r="D236">
            <v>2713</v>
          </cell>
          <cell r="E236">
            <v>5376</v>
          </cell>
          <cell r="K236" t="str">
            <v>Outlet Damper, FC Fans</v>
          </cell>
          <cell r="L236">
            <v>0.22</v>
          </cell>
          <cell r="M236">
            <v>0.26</v>
          </cell>
          <cell r="N236">
            <v>0.3</v>
          </cell>
          <cell r="O236">
            <v>0.37</v>
          </cell>
          <cell r="P236">
            <v>0.45</v>
          </cell>
          <cell r="Q236">
            <v>0.54</v>
          </cell>
          <cell r="R236">
            <v>0.65</v>
          </cell>
          <cell r="S236">
            <v>0.77</v>
          </cell>
          <cell r="T236">
            <v>0.91</v>
          </cell>
          <cell r="U236">
            <v>1.06</v>
          </cell>
        </row>
        <row r="237">
          <cell r="C237">
            <v>2586</v>
          </cell>
          <cell r="D237">
            <v>1348</v>
          </cell>
          <cell r="E237">
            <v>5376</v>
          </cell>
          <cell r="K237" t="str">
            <v>Eddy Current Drives</v>
          </cell>
          <cell r="L237">
            <v>0.17</v>
          </cell>
          <cell r="M237">
            <v>0.2</v>
          </cell>
          <cell r="N237">
            <v>0.25</v>
          </cell>
          <cell r="O237">
            <v>0.32</v>
          </cell>
          <cell r="P237">
            <v>0.41</v>
          </cell>
          <cell r="Q237">
            <v>0.51</v>
          </cell>
          <cell r="R237">
            <v>0.63</v>
          </cell>
          <cell r="S237">
            <v>0.76</v>
          </cell>
          <cell r="T237">
            <v>0.9</v>
          </cell>
          <cell r="U237">
            <v>1.04</v>
          </cell>
        </row>
        <row r="238">
          <cell r="C238">
            <v>3066</v>
          </cell>
          <cell r="D238">
            <v>1521</v>
          </cell>
          <cell r="E238">
            <v>5376</v>
          </cell>
          <cell r="K238" t="str">
            <v>Inlet Guide Vane, FC Fans</v>
          </cell>
          <cell r="L238">
            <v>0.21</v>
          </cell>
          <cell r="M238">
            <v>0.22</v>
          </cell>
          <cell r="N238">
            <v>0.23</v>
          </cell>
          <cell r="O238">
            <v>0.26</v>
          </cell>
          <cell r="P238">
            <v>0.31</v>
          </cell>
          <cell r="Q238">
            <v>0.39</v>
          </cell>
          <cell r="R238">
            <v>0.49</v>
          </cell>
          <cell r="S238">
            <v>0.63</v>
          </cell>
          <cell r="T238">
            <v>0.81</v>
          </cell>
          <cell r="U238">
            <v>1.04</v>
          </cell>
        </row>
        <row r="239">
          <cell r="C239">
            <v>4055</v>
          </cell>
          <cell r="D239">
            <v>1877</v>
          </cell>
          <cell r="E239">
            <v>5376</v>
          </cell>
          <cell r="K239" t="str">
            <v>VFD with duct static pressure controls</v>
          </cell>
          <cell r="L239">
            <v>0.09</v>
          </cell>
          <cell r="M239">
            <v>0.1</v>
          </cell>
          <cell r="N239">
            <v>0.11</v>
          </cell>
          <cell r="O239">
            <v>0.15</v>
          </cell>
          <cell r="P239">
            <v>0.2</v>
          </cell>
          <cell r="Q239">
            <v>0.28999999999999998</v>
          </cell>
          <cell r="R239">
            <v>0.41</v>
          </cell>
          <cell r="S239">
            <v>0.56999999999999995</v>
          </cell>
          <cell r="T239">
            <v>0.76</v>
          </cell>
          <cell r="U239">
            <v>1.01</v>
          </cell>
        </row>
        <row r="240">
          <cell r="C240">
            <v>6376</v>
          </cell>
          <cell r="D240">
            <v>2713</v>
          </cell>
          <cell r="E240">
            <v>5376</v>
          </cell>
          <cell r="K240" t="str">
            <v>VFD with Low/No Duct Static Pressure (&lt;1" w.g.)</v>
          </cell>
          <cell r="L240">
            <v>0.05</v>
          </cell>
          <cell r="M240">
            <v>0.06</v>
          </cell>
          <cell r="N240">
            <v>0.09</v>
          </cell>
          <cell r="O240">
            <v>0.12</v>
          </cell>
          <cell r="P240">
            <v>0.18</v>
          </cell>
          <cell r="Q240">
            <v>0.27</v>
          </cell>
          <cell r="R240">
            <v>0.39</v>
          </cell>
          <cell r="S240">
            <v>0.55000000000000004</v>
          </cell>
          <cell r="T240">
            <v>0.75</v>
          </cell>
          <cell r="U240">
            <v>1</v>
          </cell>
        </row>
        <row r="241">
          <cell r="C241">
            <v>1954</v>
          </cell>
          <cell r="D241">
            <v>1121</v>
          </cell>
          <cell r="E241">
            <v>5376</v>
          </cell>
        </row>
        <row r="242">
          <cell r="C242">
            <v>3748</v>
          </cell>
          <cell r="D242">
            <v>1767</v>
          </cell>
          <cell r="E242">
            <v>5376</v>
          </cell>
        </row>
        <row r="243">
          <cell r="C243">
            <v>4182</v>
          </cell>
          <cell r="D243">
            <v>1923</v>
          </cell>
          <cell r="E243">
            <v>5376</v>
          </cell>
        </row>
        <row r="244">
          <cell r="C244">
            <v>6456</v>
          </cell>
          <cell r="D244">
            <v>2742</v>
          </cell>
          <cell r="E244">
            <v>5376</v>
          </cell>
        </row>
        <row r="245">
          <cell r="C245">
            <v>4182</v>
          </cell>
          <cell r="D245">
            <v>1923</v>
          </cell>
          <cell r="E245">
            <v>5376</v>
          </cell>
        </row>
        <row r="246">
          <cell r="C246">
            <v>1952</v>
          </cell>
          <cell r="D246">
            <v>1120</v>
          </cell>
          <cell r="E246">
            <v>5376</v>
          </cell>
        </row>
        <row r="247">
          <cell r="C247">
            <v>5836</v>
          </cell>
          <cell r="D247">
            <v>2518</v>
          </cell>
          <cell r="E247">
            <v>5376</v>
          </cell>
        </row>
        <row r="248">
          <cell r="C248">
            <v>6376</v>
          </cell>
          <cell r="D248">
            <v>2713</v>
          </cell>
          <cell r="E248">
            <v>5376</v>
          </cell>
        </row>
        <row r="249">
          <cell r="C249">
            <v>1953</v>
          </cell>
          <cell r="D249">
            <v>1121</v>
          </cell>
          <cell r="E249">
            <v>5376</v>
          </cell>
        </row>
        <row r="250">
          <cell r="C250">
            <v>4055</v>
          </cell>
          <cell r="D250">
            <v>1877</v>
          </cell>
          <cell r="E250">
            <v>5376</v>
          </cell>
        </row>
        <row r="251">
          <cell r="C251">
            <v>2586</v>
          </cell>
          <cell r="D251">
            <v>1348</v>
          </cell>
          <cell r="E251">
            <v>5376</v>
          </cell>
        </row>
        <row r="252">
          <cell r="C252">
            <v>7674</v>
          </cell>
          <cell r="D252">
            <v>3180</v>
          </cell>
          <cell r="E252">
            <v>8760</v>
          </cell>
        </row>
        <row r="253">
          <cell r="C253">
            <v>7666</v>
          </cell>
          <cell r="D253">
            <v>1377</v>
          </cell>
          <cell r="E253">
            <v>8760</v>
          </cell>
        </row>
        <row r="254">
          <cell r="C254">
            <v>2857</v>
          </cell>
          <cell r="D254">
            <v>1446</v>
          </cell>
          <cell r="E254">
            <v>5376</v>
          </cell>
        </row>
        <row r="255">
          <cell r="C255">
            <v>4730</v>
          </cell>
          <cell r="D255">
            <v>2120</v>
          </cell>
          <cell r="E255">
            <v>5376</v>
          </cell>
        </row>
        <row r="256">
          <cell r="C256">
            <v>6631</v>
          </cell>
          <cell r="D256">
            <v>2805</v>
          </cell>
          <cell r="E256">
            <v>5376</v>
          </cell>
        </row>
        <row r="257">
          <cell r="C257">
            <v>4056</v>
          </cell>
          <cell r="D257">
            <v>1878</v>
          </cell>
          <cell r="E257">
            <v>5376</v>
          </cell>
        </row>
        <row r="258">
          <cell r="C258">
            <v>3748</v>
          </cell>
          <cell r="D258">
            <v>1767</v>
          </cell>
          <cell r="E258">
            <v>5376</v>
          </cell>
        </row>
        <row r="259">
          <cell r="C259">
            <v>2857</v>
          </cell>
          <cell r="D259">
            <v>1446</v>
          </cell>
          <cell r="E259">
            <v>5376</v>
          </cell>
        </row>
        <row r="260">
          <cell r="C260">
            <v>3064</v>
          </cell>
          <cell r="D260">
            <v>1521</v>
          </cell>
          <cell r="E260">
            <v>5942</v>
          </cell>
        </row>
        <row r="261">
          <cell r="C261">
            <v>4833</v>
          </cell>
          <cell r="D261">
            <v>2157</v>
          </cell>
          <cell r="E261">
            <v>5376</v>
          </cell>
        </row>
        <row r="262">
          <cell r="C262">
            <v>2857</v>
          </cell>
          <cell r="D262">
            <v>1446</v>
          </cell>
          <cell r="E262">
            <v>5376</v>
          </cell>
        </row>
        <row r="263">
          <cell r="C263">
            <v>3748</v>
          </cell>
          <cell r="D263">
            <v>1767</v>
          </cell>
          <cell r="E263">
            <v>5376</v>
          </cell>
        </row>
        <row r="264">
          <cell r="C264">
            <v>1954</v>
          </cell>
          <cell r="D264">
            <v>1121</v>
          </cell>
          <cell r="E264">
            <v>5376</v>
          </cell>
        </row>
        <row r="265">
          <cell r="C265">
            <v>7665</v>
          </cell>
          <cell r="D265">
            <v>3177</v>
          </cell>
          <cell r="E265">
            <v>5376</v>
          </cell>
        </row>
        <row r="266">
          <cell r="C266">
            <v>3748</v>
          </cell>
          <cell r="D266">
            <v>1767</v>
          </cell>
          <cell r="E266">
            <v>5376</v>
          </cell>
        </row>
        <row r="267">
          <cell r="C267">
            <v>5840</v>
          </cell>
          <cell r="D267">
            <v>2520</v>
          </cell>
          <cell r="E267">
            <v>5428</v>
          </cell>
        </row>
        <row r="268">
          <cell r="C268">
            <v>3748</v>
          </cell>
          <cell r="D268">
            <v>1767</v>
          </cell>
          <cell r="E268">
            <v>3038</v>
          </cell>
        </row>
        <row r="269">
          <cell r="C269">
            <v>3748</v>
          </cell>
          <cell r="D269">
            <v>1767</v>
          </cell>
          <cell r="E269">
            <v>3038</v>
          </cell>
        </row>
        <row r="270">
          <cell r="C270">
            <v>4368</v>
          </cell>
          <cell r="D270">
            <v>1990</v>
          </cell>
          <cell r="E270">
            <v>5376</v>
          </cell>
        </row>
        <row r="271">
          <cell r="C271">
            <v>5477</v>
          </cell>
          <cell r="D271">
            <v>2389</v>
          </cell>
          <cell r="E271">
            <v>5376</v>
          </cell>
        </row>
        <row r="272">
          <cell r="C272">
            <v>2586</v>
          </cell>
          <cell r="D272">
            <v>1348</v>
          </cell>
          <cell r="E272">
            <v>5376</v>
          </cell>
        </row>
        <row r="273">
          <cell r="C273">
            <v>7665</v>
          </cell>
          <cell r="D273">
            <v>3177</v>
          </cell>
          <cell r="E273">
            <v>5376</v>
          </cell>
        </row>
        <row r="274">
          <cell r="C274">
            <v>3748</v>
          </cell>
          <cell r="D274">
            <v>1767</v>
          </cell>
          <cell r="E274">
            <v>5376</v>
          </cell>
        </row>
        <row r="275">
          <cell r="C275">
            <v>1949</v>
          </cell>
          <cell r="D275">
            <v>1119</v>
          </cell>
          <cell r="E275">
            <v>5376</v>
          </cell>
        </row>
        <row r="276">
          <cell r="C276">
            <v>2602</v>
          </cell>
          <cell r="D276">
            <v>1354</v>
          </cell>
          <cell r="E276">
            <v>0</v>
          </cell>
        </row>
        <row r="277">
          <cell r="C277">
            <v>1955</v>
          </cell>
          <cell r="D277">
            <v>1121</v>
          </cell>
          <cell r="E277">
            <v>5376</v>
          </cell>
        </row>
        <row r="278">
          <cell r="C278">
            <v>3066</v>
          </cell>
          <cell r="D278">
            <v>1521</v>
          </cell>
          <cell r="E278">
            <v>5376</v>
          </cell>
        </row>
        <row r="279">
          <cell r="C279">
            <v>4182</v>
          </cell>
          <cell r="D279">
            <v>1923</v>
          </cell>
          <cell r="E279">
            <v>5376</v>
          </cell>
        </row>
        <row r="280">
          <cell r="C280">
            <v>4057</v>
          </cell>
          <cell r="D280">
            <v>1878</v>
          </cell>
          <cell r="E280">
            <v>2344</v>
          </cell>
        </row>
        <row r="281">
          <cell r="C281">
            <v>2187</v>
          </cell>
          <cell r="D281">
            <v>1205</v>
          </cell>
          <cell r="E281">
            <v>4038</v>
          </cell>
        </row>
        <row r="282">
          <cell r="C282">
            <v>2187</v>
          </cell>
          <cell r="D282">
            <v>1205</v>
          </cell>
          <cell r="E282">
            <v>3229</v>
          </cell>
        </row>
        <row r="283">
          <cell r="C283">
            <v>2187</v>
          </cell>
          <cell r="D283">
            <v>1205</v>
          </cell>
          <cell r="E283">
            <v>3229</v>
          </cell>
        </row>
        <row r="284">
          <cell r="C284">
            <v>2187</v>
          </cell>
          <cell r="D284">
            <v>1205</v>
          </cell>
          <cell r="E284">
            <v>3229</v>
          </cell>
        </row>
        <row r="285">
          <cell r="C285">
            <v>3750</v>
          </cell>
          <cell r="D285">
            <v>1768</v>
          </cell>
          <cell r="E285">
            <v>5376</v>
          </cell>
        </row>
        <row r="286">
          <cell r="C286">
            <v>1954</v>
          </cell>
          <cell r="D286">
            <v>1121</v>
          </cell>
          <cell r="E286">
            <v>5376</v>
          </cell>
        </row>
        <row r="287">
          <cell r="C287">
            <v>3748</v>
          </cell>
          <cell r="D287">
            <v>1767</v>
          </cell>
          <cell r="E287">
            <v>5376</v>
          </cell>
        </row>
        <row r="288">
          <cell r="C288">
            <v>6456</v>
          </cell>
          <cell r="D288">
            <v>2742</v>
          </cell>
          <cell r="E288">
            <v>5376</v>
          </cell>
        </row>
        <row r="289">
          <cell r="C289">
            <v>2602</v>
          </cell>
          <cell r="D289">
            <v>1354</v>
          </cell>
          <cell r="E289">
            <v>5376</v>
          </cell>
        </row>
        <row r="290">
          <cell r="C290">
            <v>6631</v>
          </cell>
          <cell r="D290">
            <v>2805</v>
          </cell>
          <cell r="E290">
            <v>5376</v>
          </cell>
        </row>
        <row r="291">
          <cell r="C291">
            <v>3750</v>
          </cell>
          <cell r="D291">
            <v>1768</v>
          </cell>
          <cell r="E291">
            <v>5376</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Name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13954-0184-4697-ABE0-71287FB7A66D}" name="YesNo" displayName="YesNo" ref="V96:V99" totalsRowShown="0" headerRowDxfId="24" dataDxfId="23">
  <tableColumns count="1">
    <tableColumn id="1" xr3:uid="{53163173-28A4-40B1-B9EF-AC4C437C2D2A}" name="Yes &amp; No" dataDxfId="2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C19BC7-5C49-4C7B-9D63-AA54AD748FB8}" name="BuildingHeat" displayName="BuildingHeat" ref="V110:V116" totalsRowShown="0" headerRowDxfId="21" dataDxfId="20">
  <tableColumns count="1">
    <tableColumn id="1" xr3:uid="{65F54576-26F3-43BC-96C2-3BE1593BCA8F}" name="Building Heat" dataDxfId="1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9B9881-C7C9-4783-9607-8A3F24E33969}" name="Organization" displayName="Organization" ref="V101:V108" totalsRowShown="0" headerRowDxfId="18" dataDxfId="17">
  <tableColumns count="1">
    <tableColumn id="1" xr3:uid="{E8995A4C-A9BE-429D-9B87-A576FF8C56CB}" name="Organization Type" dataDxfId="1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5F6645-660E-48F2-8EC1-53C6C1C65DB5}" name="YesNo5" displayName="YesNo5" ref="V96:V99" totalsRowShown="0" headerRowDxfId="15" dataDxfId="14">
  <tableColumns count="1">
    <tableColumn id="1" xr3:uid="{6F4C7B85-5EC2-4D3A-B47E-4714CE302BB7}" name="Yes &amp; No" dataDxfId="1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CB7C3C-EEAF-4BFE-BD4F-BC72DE86B6DE}" name="BuildingHeat6" displayName="BuildingHeat6" ref="V110:V116" totalsRowShown="0" headerRowDxfId="12" dataDxfId="11">
  <tableColumns count="1">
    <tableColumn id="1" xr3:uid="{E54E83A9-5E8E-4E87-A804-CC4642318CC5}" name="Building Heat" dataDxfId="1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B77676-0FB0-4751-B351-9C21B148967D}" name="Organization7" displayName="Organization7" ref="V101:V108" totalsRowShown="0" headerRowDxfId="9" dataDxfId="8">
  <tableColumns count="1">
    <tableColumn id="1" xr3:uid="{A81E5097-B99D-4A4D-89F5-7697D9EDB1D8}" name="Organization Type" dataDxfId="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star.gov/productfinder/" TargetMode="External"/><Relationship Id="rId1" Type="http://schemas.openxmlformats.org/officeDocument/2006/relationships/hyperlink" Target="https://www.ahridirectory.org/Search/SearchHome?ReturnUrl=%2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neep.org/sites/default/files/resources/Mid_Atlantic_TRM_V9_Final_clean_wUpdateSummary%20-%20CT%20FORMAT.pdf" TargetMode="External"/><Relationship Id="rId7" Type="http://schemas.openxmlformats.org/officeDocument/2006/relationships/table" Target="../tables/table2.xml"/><Relationship Id="rId2" Type="http://schemas.openxmlformats.org/officeDocument/2006/relationships/hyperlink" Target="https://www3.dps.ny.gov/W/PSCWeb.nsf/96f0fec0b45a3c6485257688006a701a/72c23decff52920a85257f1100671bdd/$FILE/NYS%20TRM%20V8.pdf" TargetMode="External"/><Relationship Id="rId1" Type="http://schemas.openxmlformats.org/officeDocument/2006/relationships/hyperlink" Target="https://en.climate-data.org/" TargetMode="External"/><Relationship Id="rId6" Type="http://schemas.openxmlformats.org/officeDocument/2006/relationships/table" Target="../tables/table1.xml"/><Relationship Id="rId5" Type="http://schemas.openxmlformats.org/officeDocument/2006/relationships/drawing" Target="../drawings/drawing4.xm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pa.gov/watersense/pre-rinse-spray-valves" TargetMode="External"/><Relationship Id="rId1" Type="http://schemas.openxmlformats.org/officeDocument/2006/relationships/hyperlink" Target="https://neep.org/sites/default/files/resources/Mid_Atlantic_TRM_V9_Final_clean_wUpdateSummary%20-%20CT%20FORMAT.pdf" TargetMode="External"/></Relationships>
</file>

<file path=xl/worksheets/_rels/sheet19.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s://neep.org/sites/default/files/resources/Mid_Atlantic_TRM_V9_Final_clean_wUpdateSummary%20-%20CT%20FORMAT.pdf" TargetMode="External"/><Relationship Id="rId7" Type="http://schemas.openxmlformats.org/officeDocument/2006/relationships/table" Target="../tables/table5.xml"/><Relationship Id="rId2" Type="http://schemas.openxmlformats.org/officeDocument/2006/relationships/hyperlink" Target="https://www3.dps.ny.gov/W/PSCWeb.nsf/96f0fec0b45a3c6485257688006a701a/72c23decff52920a85257f1100671bdd/$FILE/NYS%20TRM%20V8.pdf" TargetMode="External"/><Relationship Id="rId1" Type="http://schemas.openxmlformats.org/officeDocument/2006/relationships/hyperlink" Target="https://en.climate-data.org/" TargetMode="External"/><Relationship Id="rId6" Type="http://schemas.openxmlformats.org/officeDocument/2006/relationships/table" Target="../tables/table4.xml"/><Relationship Id="rId5" Type="http://schemas.openxmlformats.org/officeDocument/2006/relationships/drawing" Target="../drawings/drawing5.xm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B02A-EAC1-4975-81F6-0ACBCFB72AE6}">
  <sheetPr codeName="Sheet2">
    <tabColor theme="9" tint="0.39997558519241921"/>
  </sheetPr>
  <dimension ref="A1:Q30"/>
  <sheetViews>
    <sheetView showGridLines="0" tabSelected="1" workbookViewId="0">
      <selection activeCell="C1" sqref="C1:D1"/>
    </sheetView>
  </sheetViews>
  <sheetFormatPr defaultColWidth="0" defaultRowHeight="13.2"/>
  <cols>
    <col min="1" max="1" width="4.44140625" style="81" customWidth="1"/>
    <col min="2" max="2" width="31.88671875" style="81" customWidth="1"/>
    <col min="3" max="3" width="24.33203125" style="81" customWidth="1"/>
    <col min="4" max="4" width="4.88671875" style="81" customWidth="1"/>
    <col min="5" max="5" width="20.6640625" style="81" customWidth="1"/>
    <col min="6" max="8" width="19.44140625" style="81" customWidth="1"/>
    <col min="9" max="9" width="16.33203125" style="81" customWidth="1"/>
    <col min="10" max="10" width="5.88671875" style="81" customWidth="1"/>
    <col min="11" max="11" width="16.33203125" style="81" hidden="1" customWidth="1"/>
    <col min="12" max="12" width="49.88671875" style="81" hidden="1" customWidth="1"/>
    <col min="13" max="13" width="20" style="81" hidden="1" customWidth="1"/>
    <col min="14" max="16" width="16.88671875" style="81" hidden="1" customWidth="1"/>
    <col min="17" max="17" width="13.5546875" style="81" hidden="1" customWidth="1"/>
    <col min="18" max="16384" width="8" style="81" hidden="1"/>
  </cols>
  <sheetData>
    <row r="1" spans="2:16" ht="15.6">
      <c r="B1" s="12"/>
      <c r="C1" s="1052" t="s">
        <v>953</v>
      </c>
      <c r="D1" s="1052"/>
      <c r="E1" s="12"/>
      <c r="F1" s="12"/>
      <c r="G1" s="12"/>
      <c r="H1" s="12"/>
      <c r="I1"/>
      <c r="J1"/>
      <c r="K1"/>
    </row>
    <row r="2" spans="2:16" ht="15.6">
      <c r="B2" s="745" t="s">
        <v>954</v>
      </c>
      <c r="C2" s="745"/>
      <c r="D2" s="745"/>
      <c r="E2" s="745"/>
      <c r="F2" s="745"/>
      <c r="G2" s="81" t="s">
        <v>923</v>
      </c>
      <c r="H2" s="291"/>
      <c r="I2"/>
      <c r="J2"/>
      <c r="K2"/>
    </row>
    <row r="3" spans="2:16" ht="15" customHeight="1">
      <c r="B3" s="740" t="s">
        <v>0</v>
      </c>
      <c r="C3" s="740"/>
      <c r="D3" s="740"/>
      <c r="E3" s="740"/>
      <c r="F3" s="740"/>
      <c r="G3" s="740"/>
      <c r="H3" s="292"/>
      <c r="I3"/>
      <c r="J3"/>
      <c r="K3"/>
    </row>
    <row r="4" spans="2:16" ht="17.399999999999999" customHeight="1">
      <c r="B4" s="740"/>
      <c r="C4" s="740"/>
      <c r="D4" s="740"/>
      <c r="E4" s="740"/>
      <c r="F4" s="740"/>
      <c r="G4" s="740"/>
      <c r="H4" s="292"/>
      <c r="I4"/>
      <c r="J4"/>
      <c r="K4"/>
      <c r="L4" s="737" t="s">
        <v>1</v>
      </c>
      <c r="M4" s="737" t="s">
        <v>2</v>
      </c>
      <c r="N4" s="737"/>
      <c r="O4" s="737"/>
      <c r="P4" s="738" t="s">
        <v>3</v>
      </c>
    </row>
    <row r="5" spans="2:16" ht="14.4">
      <c r="B5" s="12"/>
      <c r="C5" s="12"/>
      <c r="D5" s="12"/>
      <c r="E5" s="12"/>
      <c r="F5" s="12"/>
      <c r="G5" s="12"/>
      <c r="H5" s="12"/>
      <c r="I5"/>
      <c r="J5"/>
      <c r="K5"/>
      <c r="L5" s="737"/>
      <c r="M5" s="341" t="s">
        <v>4</v>
      </c>
      <c r="N5" s="341" t="s">
        <v>5</v>
      </c>
      <c r="O5" s="341" t="s">
        <v>6</v>
      </c>
      <c r="P5" s="738"/>
    </row>
    <row r="6" spans="2:16" ht="14.4">
      <c r="B6" s="743" t="s">
        <v>7</v>
      </c>
      <c r="C6" s="744"/>
      <c r="E6" s="724" t="s">
        <v>8</v>
      </c>
      <c r="F6" s="725"/>
      <c r="G6" s="725"/>
      <c r="H6" s="725"/>
      <c r="I6" s="726"/>
      <c r="J6"/>
      <c r="K6"/>
      <c r="L6" s="342" t="s">
        <v>9</v>
      </c>
      <c r="M6" s="343" t="str">
        <f>IF(C7="","",IFERROR(SUM('Ice Machine'!AG5:AG10),""))</f>
        <v/>
      </c>
      <c r="N6" s="344" t="str">
        <f>IF(C7="","",IFERROR(SUM('Ice Machine'!Z34:Z36),""))</f>
        <v/>
      </c>
      <c r="O6" s="344" t="s">
        <v>10</v>
      </c>
      <c r="P6" s="345" t="str">
        <f>IF(C7="","",SUM('Ice Machine'!AA34:AA36))</f>
        <v/>
      </c>
    </row>
    <row r="7" spans="2:16" ht="15" customHeight="1">
      <c r="B7" s="346" t="s">
        <v>11</v>
      </c>
      <c r="C7" s="347"/>
      <c r="E7" s="722" t="s">
        <v>12</v>
      </c>
      <c r="F7" s="722" t="s">
        <v>13</v>
      </c>
      <c r="G7" s="722" t="s">
        <v>14</v>
      </c>
      <c r="H7" s="722" t="s">
        <v>15</v>
      </c>
      <c r="I7" s="722" t="s">
        <v>16</v>
      </c>
      <c r="J7"/>
      <c r="K7"/>
      <c r="L7" s="342" t="s">
        <v>17</v>
      </c>
      <c r="M7" s="343" t="str">
        <f>IF(C7="","",IFERROR(SUM(Dishwasher!AE87:AE95),""))</f>
        <v/>
      </c>
      <c r="N7" s="344" t="str">
        <f>IF(C7="","",IFERROR(SUM(Dishwasher!AD87:AD90,Dishwasher!AD92:AD95),""))</f>
        <v/>
      </c>
      <c r="O7" s="344" t="str">
        <f>IF(C7="","",IFERROR(SUM(Dishwasher!AF87:AF90,Dishwasher!AF92:AF95),""))</f>
        <v/>
      </c>
      <c r="P7" s="345" t="str">
        <f>IF(C7="","",SUM(Dishwasher!AG87:AG95))</f>
        <v/>
      </c>
    </row>
    <row r="8" spans="2:16" ht="15" customHeight="1">
      <c r="B8" s="346" t="s">
        <v>18</v>
      </c>
      <c r="C8" s="348"/>
      <c r="E8" s="723"/>
      <c r="F8" s="723"/>
      <c r="G8" s="723"/>
      <c r="H8" s="723"/>
      <c r="I8" s="723"/>
      <c r="J8"/>
      <c r="K8"/>
      <c r="L8" s="342" t="s">
        <v>19</v>
      </c>
      <c r="M8" s="343" t="str">
        <f>IF(C7="","",IFERROR(SUM(Freezers!Z43,Freezers!Z46),""))</f>
        <v/>
      </c>
      <c r="N8" s="344" t="str">
        <f>IF(C7="","",IFERROR(SUM(Freezers!Y43,Freezers!Y46),""))</f>
        <v/>
      </c>
      <c r="O8" s="344" t="s">
        <v>10</v>
      </c>
      <c r="P8" s="345" t="str">
        <f>IF(C7="","",SUM(Freezers!AA43,Freezers!AA46))</f>
        <v/>
      </c>
    </row>
    <row r="9" spans="2:16" ht="14.4">
      <c r="E9" s="340">
        <f>M23</f>
        <v>0</v>
      </c>
      <c r="F9" s="340">
        <f>N23</f>
        <v>0</v>
      </c>
      <c r="G9" s="340">
        <f>H9/10</f>
        <v>0</v>
      </c>
      <c r="H9" s="340">
        <f>O23</f>
        <v>0</v>
      </c>
      <c r="I9" s="340">
        <f>IFERROR(SUM(F9*Lookups!B82,H9*Lookups!B83),"")</f>
        <v>0</v>
      </c>
      <c r="J9"/>
      <c r="K9"/>
      <c r="L9" s="342" t="s">
        <v>20</v>
      </c>
      <c r="M9" s="349" t="s">
        <v>10</v>
      </c>
      <c r="N9" s="350" t="str">
        <f>IF(C7="","",'Clothes Washers'!AE42)</f>
        <v/>
      </c>
      <c r="O9" s="344" t="str">
        <f>IF(C7="","",'Clothes Washers'!AE44)</f>
        <v/>
      </c>
      <c r="P9" s="345" t="str">
        <f>IF(C7="","",'Clothes Washers'!AE46)</f>
        <v/>
      </c>
    </row>
    <row r="10" spans="2:16" ht="14.4">
      <c r="B10" s="743" t="s">
        <v>21</v>
      </c>
      <c r="C10" s="744"/>
      <c r="D10" s="84"/>
      <c r="E10" s="741"/>
      <c r="F10" s="741"/>
      <c r="G10" s="85"/>
      <c r="H10" s="85"/>
      <c r="I10"/>
      <c r="J10"/>
      <c r="K10"/>
      <c r="L10" s="342" t="s">
        <v>22</v>
      </c>
      <c r="M10" s="349" t="s">
        <v>10</v>
      </c>
      <c r="N10" s="350" t="str">
        <f>IF(C7="","",IFERROR(SUM(Ovens!Z111:Z112,Ovens!Z114),""))</f>
        <v/>
      </c>
      <c r="O10" s="344" t="str">
        <f>IF(C7="","",IFERROR(SUM(Ovens!Z113,Ovens!Z117:Z120),""))</f>
        <v/>
      </c>
      <c r="P10" s="345" t="str">
        <f>IF(C7="","",IFERROR(SUM(Ovens!AA111:AA120),""))</f>
        <v/>
      </c>
    </row>
    <row r="11" spans="2:16" ht="14.4">
      <c r="B11" s="335" t="s">
        <v>23</v>
      </c>
      <c r="C11" s="336"/>
      <c r="D11" s="84"/>
      <c r="E11" s="742"/>
      <c r="F11" s="742"/>
      <c r="G11" s="85"/>
      <c r="H11" s="85"/>
      <c r="I11"/>
      <c r="J11"/>
      <c r="K11"/>
      <c r="L11" s="342" t="s">
        <v>24</v>
      </c>
      <c r="M11" s="349" t="s">
        <v>10</v>
      </c>
      <c r="N11" s="350" t="str">
        <f>IF(C7="","",IFERROR(SUM(Fryer!AC48:AC49),""))</f>
        <v/>
      </c>
      <c r="O11" s="344" t="str">
        <f>IF(C7="","",IFERROR(SUM(Fryer!AC50:AC51),""))</f>
        <v/>
      </c>
      <c r="P11" s="345" t="str">
        <f>IF(C7="","",IFERROR(SUM(Fryer!AE48:AE51),""))</f>
        <v/>
      </c>
    </row>
    <row r="12" spans="2:16" ht="14.4">
      <c r="B12" s="335" t="s">
        <v>25</v>
      </c>
      <c r="C12" s="336"/>
      <c r="E12" s="742"/>
      <c r="F12" s="742"/>
      <c r="G12" s="85"/>
      <c r="H12" s="85"/>
      <c r="I12"/>
      <c r="J12"/>
      <c r="K12"/>
      <c r="L12" s="342" t="s">
        <v>26</v>
      </c>
      <c r="M12" s="349" t="s">
        <v>10</v>
      </c>
      <c r="N12" s="350" t="str">
        <f>IF(C7="","",IFERROR(SUM(Griddle!AA51:AA52,Griddle!AA55),""))</f>
        <v/>
      </c>
      <c r="O12" s="344" t="str">
        <f>IF(C7="","",IFERROR(SUM(Griddle!AA532),""))</f>
        <v/>
      </c>
      <c r="P12" s="345" t="str">
        <f>IF(C7="","",IFERROR(SUM(Griddle!AC51:AC55),""))</f>
        <v/>
      </c>
    </row>
    <row r="13" spans="2:16" ht="15" customHeight="1">
      <c r="B13" s="335" t="s">
        <v>27</v>
      </c>
      <c r="C13" s="336"/>
      <c r="E13" s="338" t="s">
        <v>28</v>
      </c>
      <c r="F13" s="351">
        <f>MIN(0.6*C14,SUM($P$6:$P$21),250000)</f>
        <v>0</v>
      </c>
      <c r="G13" s="12"/>
      <c r="H13" s="12"/>
      <c r="I13"/>
      <c r="J13"/>
      <c r="K13"/>
      <c r="L13" s="342" t="s">
        <v>29</v>
      </c>
      <c r="M13" s="349" t="s">
        <v>10</v>
      </c>
      <c r="N13" s="350" t="str">
        <f>IF(C7="","",IFERROR(SUM('Hot Food Holding Cabinet'!M5),""))</f>
        <v/>
      </c>
      <c r="O13" s="350" t="str">
        <f>IF(C7="","",IFERROR(SUM('Hot Food Holding Cabinet'!N5),""))</f>
        <v/>
      </c>
      <c r="P13" s="345" t="str">
        <f>IF(C7="","",IFERROR(SUM('Hot Food Holding Cabinet'!O5),""))</f>
        <v/>
      </c>
    </row>
    <row r="14" spans="2:16" ht="14.4">
      <c r="B14" s="337" t="s">
        <v>30</v>
      </c>
      <c r="C14" s="352">
        <f>SUM(C11:C13)</f>
        <v>0</v>
      </c>
      <c r="E14" s="338" t="s">
        <v>31</v>
      </c>
      <c r="F14" s="339" t="str">
        <f>IFERROR(F13/C14,"")</f>
        <v/>
      </c>
      <c r="G14" s="12"/>
      <c r="H14" s="12"/>
      <c r="I14"/>
      <c r="J14"/>
      <c r="K14"/>
      <c r="L14" s="342" t="s">
        <v>32</v>
      </c>
      <c r="M14" s="349" t="s">
        <v>10</v>
      </c>
      <c r="N14" s="350" t="str">
        <f>IF(C7="","",IFERROR(SUM('Steam Cooker'!AE49),""))</f>
        <v/>
      </c>
      <c r="O14" s="344" t="str">
        <f>IF(C7="","",IFERROR(SUM('Steam Cooker'!AE50),""))</f>
        <v/>
      </c>
      <c r="P14" s="345" t="str">
        <f>IF(C7="","",IFERROR(SUM('Steam Cooker'!AG49:AG50),""))</f>
        <v/>
      </c>
    </row>
    <row r="15" spans="2:16" ht="14.4">
      <c r="B15" s="739" t="s">
        <v>33</v>
      </c>
      <c r="C15" s="739"/>
      <c r="G15"/>
      <c r="H15"/>
      <c r="I15"/>
      <c r="J15"/>
      <c r="K15"/>
      <c r="L15" s="342" t="s">
        <v>34</v>
      </c>
      <c r="M15" s="349" t="s">
        <v>10</v>
      </c>
      <c r="N15" s="350" t="str">
        <f>IF(C7="","",IFERROR(SUM('Night Cover for Refrig. Cases'!K5:K12),""))</f>
        <v/>
      </c>
      <c r="O15" s="344" t="str">
        <f>IF(C7="","",IFERROR(SUM('Steam Cooker'!AE51),""))</f>
        <v/>
      </c>
      <c r="P15" s="345" t="str">
        <f>IF(C7="","",IFERROR(SUM('Night Cover for Refrig. Cases'!L5:L12),""))</f>
        <v/>
      </c>
    </row>
    <row r="16" spans="2:16" ht="14.4">
      <c r="B16" s="12"/>
      <c r="C16" s="12"/>
      <c r="E16" s="12"/>
      <c r="F16" s="12"/>
      <c r="G16" s="12"/>
      <c r="H16" s="12"/>
      <c r="I16"/>
      <c r="J16"/>
      <c r="K16"/>
      <c r="L16" s="342" t="s">
        <v>35</v>
      </c>
      <c r="M16" s="349" t="str">
        <f>IF(C7="","",IFERROR(SUM('Anti-Sweat Heater Controls'!Q5:Q12),""))</f>
        <v/>
      </c>
      <c r="N16" s="350" t="str">
        <f>IF(C7="","",IFERROR(SUM('Anti-Sweat Heater Controls'!R5:R12),""))</f>
        <v/>
      </c>
      <c r="O16" s="349" t="s">
        <v>10</v>
      </c>
      <c r="P16" s="345" t="str">
        <f>IF(C7="","",IFERROR(SUM('Anti-Sweat Heater Controls'!S5:S12),""))</f>
        <v/>
      </c>
    </row>
    <row r="17" spans="2:16" ht="14.4">
      <c r="B17" s="12"/>
      <c r="C17" s="12"/>
      <c r="E17" s="12"/>
      <c r="F17" s="12"/>
      <c r="G17" s="12"/>
      <c r="H17" s="12"/>
      <c r="I17"/>
      <c r="J17"/>
      <c r="K17"/>
      <c r="L17" s="342" t="s">
        <v>36</v>
      </c>
      <c r="M17" s="349" t="str">
        <f>IF(C7="","",IFERROR(SUM('Refrigeration Door Gasket'!L5:L12),""))</f>
        <v/>
      </c>
      <c r="N17" s="350" t="str">
        <f>IF(C7="","",IFERROR(SUM('Refrigeration Door Gasket'!M5:M12),""))</f>
        <v/>
      </c>
      <c r="O17" s="349" t="s">
        <v>10</v>
      </c>
      <c r="P17" s="345" t="str">
        <f>IF(C7="","",IFERROR(SUM('Refrigeration Door Gasket'!N5:N12),""))</f>
        <v/>
      </c>
    </row>
    <row r="18" spans="2:16" ht="14.4">
      <c r="B18"/>
      <c r="C18"/>
      <c r="E18" s="12"/>
      <c r="F18" s="12"/>
      <c r="G18" s="12"/>
      <c r="H18" s="12"/>
      <c r="I18"/>
      <c r="J18"/>
      <c r="K18"/>
      <c r="L18" s="342" t="s">
        <v>952</v>
      </c>
      <c r="M18" s="349" t="s">
        <v>10</v>
      </c>
      <c r="N18" s="350" t="str">
        <f>IF(C7="","",IFERROR(SUM('Pre-Rinse Spray Valves'!V5:V12),""))</f>
        <v/>
      </c>
      <c r="O18" s="344" t="str" cm="1">
        <f t="array" ref="O18">IF(C7="","",IFERROR(SUM('Pre-Rinse Spray Valves'!U5:U12*10),""))</f>
        <v/>
      </c>
      <c r="P18" s="345" t="str">
        <f>IF(C7="","",IFERROR(SUM('Pre-Rinse Spray Valves'!W5:W12),""))</f>
        <v/>
      </c>
    </row>
    <row r="19" spans="2:16" ht="14.4">
      <c r="B19" s="12"/>
      <c r="C19" s="12"/>
      <c r="E19" s="12"/>
      <c r="F19" s="12"/>
      <c r="G19" s="12"/>
      <c r="H19" s="12"/>
      <c r="I19" s="80"/>
      <c r="J19" s="80"/>
      <c r="K19" s="80"/>
      <c r="L19" s="342"/>
      <c r="M19" s="349"/>
      <c r="N19" s="350"/>
      <c r="O19" s="344"/>
      <c r="P19" s="345"/>
    </row>
    <row r="20" spans="2:16" ht="13.8">
      <c r="B20" s="12"/>
      <c r="C20" s="12"/>
      <c r="L20" s="342"/>
      <c r="M20" s="349"/>
      <c r="N20" s="350"/>
      <c r="O20" s="344"/>
      <c r="P20" s="345"/>
    </row>
    <row r="21" spans="2:16" ht="13.8">
      <c r="B21" s="12"/>
      <c r="C21" s="12"/>
      <c r="E21" s="15"/>
      <c r="F21" s="15"/>
      <c r="G21" s="15"/>
      <c r="H21" s="15"/>
      <c r="L21" s="342"/>
      <c r="M21" s="349"/>
      <c r="N21" s="350"/>
      <c r="O21" s="344"/>
      <c r="P21" s="345"/>
    </row>
    <row r="22" spans="2:16" ht="13.8">
      <c r="D22" s="15"/>
    </row>
    <row r="23" spans="2:16" ht="16.8">
      <c r="B23" s="727" t="s">
        <v>955</v>
      </c>
      <c r="C23" s="727"/>
      <c r="D23" s="727"/>
      <c r="E23" s="727"/>
      <c r="F23" s="727"/>
      <c r="I23" s="15"/>
      <c r="J23" s="15"/>
      <c r="K23" s="15"/>
      <c r="L23" s="353" t="s">
        <v>37</v>
      </c>
      <c r="M23" s="354">
        <f>SUM(M6:M21)</f>
        <v>0</v>
      </c>
      <c r="N23" s="355">
        <f>SUM(N6:N21)</f>
        <v>0</v>
      </c>
      <c r="O23" s="355">
        <f>SUM(O6:O21)</f>
        <v>0</v>
      </c>
      <c r="P23" s="356">
        <f>SUM(P6:P21)</f>
        <v>0</v>
      </c>
    </row>
    <row r="24" spans="2:16" ht="15" customHeight="1" thickBot="1"/>
    <row r="25" spans="2:16" ht="14.4">
      <c r="B25" s="728" t="s">
        <v>960</v>
      </c>
      <c r="C25" s="729"/>
      <c r="D25" s="729"/>
      <c r="E25" s="729"/>
      <c r="F25" s="730"/>
      <c r="N25"/>
    </row>
    <row r="26" spans="2:16" ht="13.8">
      <c r="B26" s="731"/>
      <c r="C26" s="732"/>
      <c r="D26" s="732"/>
      <c r="E26" s="732"/>
      <c r="F26" s="733"/>
      <c r="L26" s="338" t="s">
        <v>38</v>
      </c>
      <c r="M26" s="357"/>
      <c r="N26" s="357"/>
    </row>
    <row r="27" spans="2:16" ht="13.8">
      <c r="B27" s="731"/>
      <c r="C27" s="732"/>
      <c r="D27" s="732"/>
      <c r="E27" s="732"/>
      <c r="F27" s="733"/>
      <c r="L27" s="338" t="s">
        <v>39</v>
      </c>
      <c r="M27" s="357"/>
      <c r="N27" s="357"/>
    </row>
    <row r="28" spans="2:16">
      <c r="B28" s="731"/>
      <c r="C28" s="732"/>
      <c r="D28" s="732"/>
      <c r="E28" s="732"/>
      <c r="F28" s="733"/>
      <c r="M28" s="126"/>
    </row>
    <row r="29" spans="2:16">
      <c r="B29" s="731"/>
      <c r="C29" s="732"/>
      <c r="D29" s="732"/>
      <c r="E29" s="732"/>
      <c r="F29" s="733"/>
    </row>
    <row r="30" spans="2:16" ht="13.8" thickBot="1">
      <c r="B30" s="734"/>
      <c r="C30" s="735"/>
      <c r="D30" s="735"/>
      <c r="E30" s="735"/>
      <c r="F30" s="736"/>
    </row>
  </sheetData>
  <sheetProtection algorithmName="SHA-512" hashValue="d8lKJj2a6HUDQegmhMilVZ1e1dmpsAq9oDgfcyi1nrUZGw9MXsY142bi2TvW8vSO/PrmWwakU8enCSx0ALYH4Q==" saltValue="hX5/OWxb7Rki2XbJGyfqNg==" spinCount="100000" sheet="1" objects="1" scenarios="1"/>
  <protectedRanges>
    <protectedRange sqref="C7:C8 C14" name="Range1"/>
    <protectedRange sqref="C11:C13" name="Range2"/>
  </protectedRanges>
  <mergeCells count="18">
    <mergeCell ref="M4:O4"/>
    <mergeCell ref="P4:P5"/>
    <mergeCell ref="L4:L5"/>
    <mergeCell ref="I7:I8"/>
    <mergeCell ref="B15:C15"/>
    <mergeCell ref="B3:G4"/>
    <mergeCell ref="F7:F8"/>
    <mergeCell ref="H7:H8"/>
    <mergeCell ref="E10:F12"/>
    <mergeCell ref="B10:C10"/>
    <mergeCell ref="B6:C6"/>
    <mergeCell ref="E7:E8"/>
    <mergeCell ref="G7:G8"/>
    <mergeCell ref="E6:I6"/>
    <mergeCell ref="C1:D1"/>
    <mergeCell ref="B23:F23"/>
    <mergeCell ref="B25:F30"/>
    <mergeCell ref="B2:F2"/>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464ADB6-9F30-4017-8FBD-6FA8188BE4CE}">
          <x14:formula1>
            <xm:f>Lookups!$B$91:$B$112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3A0D-4EE1-45E6-A8F7-9DFD9887B442}">
  <sheetPr codeName="Sheet6">
    <tabColor theme="9" tint="0.39997558519241921"/>
  </sheetPr>
  <dimension ref="A1:K31"/>
  <sheetViews>
    <sheetView showGridLines="0" zoomScale="85" zoomScaleNormal="85" workbookViewId="0">
      <selection activeCell="B1" sqref="B1:C6"/>
    </sheetView>
  </sheetViews>
  <sheetFormatPr defaultColWidth="0" defaultRowHeight="14.25" customHeight="1" zeroHeight="1"/>
  <cols>
    <col min="1" max="1" width="42.44140625" style="26" customWidth="1"/>
    <col min="2" max="2" width="54.5546875" style="26" customWidth="1"/>
    <col min="3" max="3" width="75.44140625" style="26" customWidth="1"/>
    <col min="4" max="4" width="8.88671875" style="26" customWidth="1"/>
    <col min="5" max="16384" width="8.88671875" style="26" hidden="1"/>
  </cols>
  <sheetData>
    <row r="1" spans="1:11" ht="14.4" customHeight="1">
      <c r="A1" s="25"/>
      <c r="B1" s="746" t="s">
        <v>958</v>
      </c>
      <c r="C1" s="747"/>
    </row>
    <row r="2" spans="1:11" ht="14.1" customHeight="1">
      <c r="B2" s="747"/>
      <c r="C2" s="747"/>
    </row>
    <row r="3" spans="1:11" ht="14.1" customHeight="1">
      <c r="B3" s="747"/>
      <c r="C3" s="747"/>
    </row>
    <row r="4" spans="1:11" ht="14.1" customHeight="1">
      <c r="B4" s="747"/>
      <c r="C4" s="747"/>
    </row>
    <row r="5" spans="1:11" ht="14.1" customHeight="1">
      <c r="B5" s="747"/>
      <c r="C5" s="747"/>
    </row>
    <row r="6" spans="1:11" ht="14.1" customHeight="1">
      <c r="B6" s="747"/>
      <c r="C6" s="747"/>
    </row>
    <row r="7" spans="1:11" ht="13.8">
      <c r="A7" s="748"/>
      <c r="B7" s="748"/>
      <c r="C7" s="748"/>
    </row>
    <row r="8" spans="1:11" ht="13.8">
      <c r="A8" s="749" t="s">
        <v>40</v>
      </c>
      <c r="B8" s="749"/>
      <c r="C8" s="749"/>
      <c r="D8" s="27"/>
      <c r="E8" s="27"/>
      <c r="F8" s="27"/>
      <c r="G8" s="27"/>
      <c r="H8" s="27"/>
      <c r="I8" s="27"/>
      <c r="J8" s="27"/>
      <c r="K8" s="27"/>
    </row>
    <row r="9" spans="1:11" ht="13.8">
      <c r="A9" s="749"/>
      <c r="B9" s="749"/>
      <c r="C9" s="749"/>
      <c r="D9" s="27"/>
      <c r="E9" s="27"/>
      <c r="F9" s="27"/>
      <c r="G9" s="27"/>
      <c r="H9" s="27"/>
      <c r="I9" s="27"/>
      <c r="J9" s="27"/>
      <c r="K9" s="27"/>
    </row>
    <row r="10" spans="1:11" ht="13.8">
      <c r="A10" s="28"/>
      <c r="B10" s="28"/>
      <c r="C10" s="28"/>
      <c r="D10" s="27"/>
      <c r="E10" s="27"/>
      <c r="F10" s="27"/>
      <c r="G10" s="27"/>
      <c r="H10" s="27"/>
      <c r="I10" s="27"/>
      <c r="J10" s="27"/>
      <c r="K10" s="27"/>
    </row>
    <row r="11" spans="1:11" ht="23.25" customHeight="1">
      <c r="A11" s="750" t="s">
        <v>959</v>
      </c>
      <c r="B11" s="750"/>
      <c r="C11" s="750"/>
      <c r="D11" s="296"/>
      <c r="E11" s="27"/>
      <c r="F11" s="27"/>
      <c r="G11" s="27"/>
      <c r="H11" s="27"/>
      <c r="I11" s="27"/>
      <c r="J11" s="27"/>
      <c r="K11" s="27"/>
    </row>
    <row r="12" spans="1:11" ht="13.8" customHeight="1">
      <c r="A12" s="750"/>
      <c r="B12" s="750"/>
      <c r="C12" s="750"/>
      <c r="D12" s="27"/>
      <c r="E12" s="27"/>
      <c r="F12" s="27"/>
      <c r="G12" s="27"/>
      <c r="H12" s="27"/>
      <c r="I12" s="27"/>
      <c r="J12" s="27"/>
      <c r="K12" s="27"/>
    </row>
    <row r="13" spans="1:11" ht="13.8" customHeight="1">
      <c r="A13" s="721"/>
      <c r="B13" s="721"/>
      <c r="C13" s="721"/>
      <c r="D13" s="27"/>
      <c r="E13" s="27"/>
      <c r="F13" s="27"/>
      <c r="G13" s="27"/>
      <c r="H13" s="27"/>
      <c r="I13" s="27"/>
      <c r="J13" s="27"/>
      <c r="K13" s="27"/>
    </row>
    <row r="14" spans="1:11" ht="17.399999999999999">
      <c r="A14" s="29" t="s">
        <v>41</v>
      </c>
    </row>
    <row r="15" spans="1:11" ht="13.8">
      <c r="A15" s="26" t="s">
        <v>42</v>
      </c>
    </row>
    <row r="16" spans="1:11" ht="13.8">
      <c r="A16" s="358"/>
      <c r="B16" s="26" t="s">
        <v>43</v>
      </c>
    </row>
    <row r="17" spans="1:3" ht="13.8">
      <c r="A17" s="359"/>
      <c r="B17" s="26" t="s">
        <v>44</v>
      </c>
    </row>
    <row r="18" spans="1:3" ht="13.8">
      <c r="A18" s="360"/>
      <c r="B18" s="26" t="s">
        <v>45</v>
      </c>
    </row>
    <row r="19" spans="1:3" ht="14.25" customHeight="1"/>
    <row r="20" spans="1:3" ht="18.75" customHeight="1">
      <c r="A20" s="751" t="s">
        <v>46</v>
      </c>
      <c r="B20" s="751"/>
      <c r="C20" s="751"/>
    </row>
    <row r="21" spans="1:3" ht="15.75" customHeight="1">
      <c r="A21" s="751"/>
      <c r="B21" s="751"/>
      <c r="C21" s="751"/>
    </row>
    <row r="22" spans="1:3" ht="15.75" customHeight="1">
      <c r="A22" s="94"/>
      <c r="B22" s="94"/>
      <c r="C22" s="94"/>
    </row>
    <row r="23" spans="1:3" ht="15.75" customHeight="1">
      <c r="A23" s="26" t="s">
        <v>47</v>
      </c>
      <c r="B23" s="94"/>
      <c r="C23" s="94"/>
    </row>
    <row r="24" spans="1:3" ht="15.75" customHeight="1">
      <c r="A24" s="26" t="s">
        <v>48</v>
      </c>
      <c r="B24" s="94"/>
      <c r="C24" s="94"/>
    </row>
    <row r="25" spans="1:3" ht="14.25" customHeight="1"/>
    <row r="26" spans="1:3" ht="14.25" customHeight="1">
      <c r="A26" s="29" t="s">
        <v>49</v>
      </c>
    </row>
    <row r="27" spans="1:3" ht="14.25" customHeight="1">
      <c r="A27" s="83" t="s">
        <v>50</v>
      </c>
      <c r="B27" s="82" t="s">
        <v>51</v>
      </c>
    </row>
    <row r="28" spans="1:3" ht="14.25" customHeight="1">
      <c r="A28" s="83" t="s">
        <v>52</v>
      </c>
      <c r="B28" s="82" t="s">
        <v>53</v>
      </c>
    </row>
    <row r="29" spans="1:3" ht="14.25" customHeight="1">
      <c r="A29" s="83" t="s">
        <v>54</v>
      </c>
      <c r="B29" s="82"/>
    </row>
    <row r="30" spans="1:3" ht="14.25" customHeight="1"/>
    <row r="31" spans="1:3" ht="14.25" customHeight="1"/>
  </sheetData>
  <sheetProtection algorithmName="SHA-512" hashValue="yxs+VBec6o7i5QyBXlr6HX02grOgxKr+jipZIQ50dFQUGphhJiy7etcUHTqXj7KZnjZa9KsQlRDTHjpp4DcjXA==" saltValue="Bai37HobzRQkzxqvF4ZhQA==" spinCount="100000" sheet="1" objects="1" scenarios="1"/>
  <mergeCells count="5">
    <mergeCell ref="B1:C6"/>
    <mergeCell ref="A7:C7"/>
    <mergeCell ref="A8:C9"/>
    <mergeCell ref="A11:C12"/>
    <mergeCell ref="A20:C21"/>
  </mergeCells>
  <hyperlinks>
    <hyperlink ref="B27" r:id="rId1" xr:uid="{39CA545F-316F-4CFD-A8DD-A1389228548C}"/>
    <hyperlink ref="B28" r:id="rId2" xr:uid="{45A13A53-364B-448B-B022-98E33EF3CFCB}"/>
  </hyperlinks>
  <pageMargins left="0.7" right="0.7" top="0.75" bottom="0.75" header="0.3" footer="0.3"/>
  <pageSetup orientation="landscape"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6C5B-512A-448E-9572-A3801D54A5EB}">
  <sheetPr codeName="Sheet1">
    <tabColor theme="9" tint="0.39997558519241921"/>
  </sheetPr>
  <dimension ref="A1:U42"/>
  <sheetViews>
    <sheetView showGridLines="0" zoomScaleNormal="100" workbookViewId="0">
      <selection activeCell="A2" sqref="A2:I2"/>
    </sheetView>
  </sheetViews>
  <sheetFormatPr defaultColWidth="0" defaultRowHeight="12.9" customHeight="1"/>
  <cols>
    <col min="1" max="1" width="25.5546875" style="17" customWidth="1"/>
    <col min="2" max="2" width="7.44140625" style="17" customWidth="1"/>
    <col min="3" max="3" width="30.33203125" style="17" customWidth="1"/>
    <col min="4" max="4" width="13.88671875" style="17" customWidth="1"/>
    <col min="5" max="5" width="16.33203125" style="17" customWidth="1"/>
    <col min="6" max="6" width="5.6640625" style="17" customWidth="1"/>
    <col min="7" max="7" width="5.33203125" style="17" customWidth="1"/>
    <col min="8" max="8" width="4.44140625" style="17" customWidth="1"/>
    <col min="9" max="9" width="8.5546875" style="265" customWidth="1"/>
    <col min="10" max="10" width="3.6640625" style="17" customWidth="1"/>
    <col min="11" max="11" width="7.5546875" style="17" hidden="1" customWidth="1"/>
    <col min="12" max="12" width="0" style="17" hidden="1" customWidth="1"/>
    <col min="13" max="13" width="7.5546875" style="17" hidden="1" customWidth="1"/>
    <col min="14" max="14" width="0" style="17" hidden="1" customWidth="1"/>
    <col min="15" max="15" width="7.5546875" style="17" hidden="1" customWidth="1"/>
    <col min="16" max="17" width="0" style="17" hidden="1" customWidth="1"/>
    <col min="18" max="18" width="7.5546875" style="17" hidden="1" customWidth="1"/>
    <col min="19" max="19" width="0" style="17" hidden="1" customWidth="1"/>
    <col min="20" max="20" width="7.5546875" style="17" hidden="1" customWidth="1"/>
    <col min="21" max="21" width="0" style="17" hidden="1" customWidth="1"/>
    <col min="22" max="16384" width="7.5546875" style="17" hidden="1"/>
  </cols>
  <sheetData>
    <row r="1" spans="1:11" ht="15.75" customHeight="1">
      <c r="A1" s="788" t="s">
        <v>954</v>
      </c>
      <c r="B1" s="788"/>
      <c r="C1" s="788"/>
      <c r="D1" s="788"/>
      <c r="E1" s="788"/>
      <c r="F1" s="788"/>
      <c r="G1" s="788"/>
      <c r="H1" s="788"/>
      <c r="I1" s="788"/>
      <c r="J1" s="16"/>
      <c r="K1" s="16"/>
    </row>
    <row r="2" spans="1:11" ht="18" customHeight="1">
      <c r="A2" s="788" t="s">
        <v>956</v>
      </c>
      <c r="B2" s="788"/>
      <c r="C2" s="788"/>
      <c r="D2" s="788"/>
      <c r="E2" s="788"/>
      <c r="F2" s="788"/>
      <c r="G2" s="788"/>
      <c r="H2" s="788"/>
      <c r="I2" s="788"/>
      <c r="J2" s="18"/>
      <c r="K2" s="18"/>
    </row>
    <row r="3" spans="1:11" ht="12.75" customHeight="1">
      <c r="A3" s="789"/>
      <c r="B3" s="789"/>
      <c r="C3" s="789"/>
      <c r="D3" s="789"/>
      <c r="E3" s="789"/>
      <c r="F3" s="789"/>
      <c r="G3" s="789"/>
      <c r="H3" s="778" t="s">
        <v>55</v>
      </c>
      <c r="I3" s="778"/>
    </row>
    <row r="4" spans="1:11" ht="12.75" customHeight="1">
      <c r="A4" s="790"/>
      <c r="B4" s="790"/>
      <c r="C4" s="790"/>
      <c r="D4" s="790"/>
      <c r="E4" s="790"/>
      <c r="F4" s="790"/>
      <c r="G4" s="790"/>
      <c r="H4" s="779"/>
      <c r="I4" s="779"/>
    </row>
    <row r="5" spans="1:11" ht="15.9" customHeight="1">
      <c r="A5" s="791" t="s">
        <v>957</v>
      </c>
      <c r="B5" s="792"/>
      <c r="C5" s="792"/>
      <c r="D5" s="792"/>
      <c r="E5" s="792"/>
      <c r="F5" s="792"/>
      <c r="G5" s="792"/>
      <c r="H5" s="792"/>
      <c r="I5" s="793"/>
    </row>
    <row r="6" spans="1:11" ht="13.2">
      <c r="A6" s="780" t="s">
        <v>56</v>
      </c>
      <c r="B6" s="781"/>
      <c r="C6" s="781"/>
      <c r="D6" s="781"/>
      <c r="E6" s="781"/>
      <c r="F6" s="781"/>
      <c r="G6" s="781"/>
      <c r="H6" s="781"/>
      <c r="I6" s="782"/>
    </row>
    <row r="7" spans="1:11" ht="12.75" customHeight="1">
      <c r="A7" s="775" t="s">
        <v>57</v>
      </c>
      <c r="B7" s="776"/>
      <c r="C7" s="776" t="s">
        <v>58</v>
      </c>
      <c r="D7" s="776"/>
      <c r="E7" s="776"/>
      <c r="F7" s="361"/>
      <c r="G7" s="776"/>
      <c r="H7" s="776"/>
      <c r="I7" s="783"/>
    </row>
    <row r="8" spans="1:11" ht="13.2">
      <c r="A8" s="362"/>
      <c r="B8" s="363"/>
      <c r="C8" s="363"/>
      <c r="D8" s="363"/>
      <c r="E8" s="363"/>
      <c r="F8" s="363"/>
      <c r="G8" s="363"/>
      <c r="H8" s="363"/>
      <c r="I8" s="364"/>
    </row>
    <row r="9" spans="1:11" ht="12.75" customHeight="1">
      <c r="A9" s="780" t="s">
        <v>59</v>
      </c>
      <c r="B9" s="781"/>
      <c r="C9" s="781"/>
      <c r="D9" s="781"/>
      <c r="E9" s="781"/>
      <c r="F9" s="781"/>
      <c r="G9" s="781"/>
      <c r="H9" s="781"/>
      <c r="I9" s="782"/>
    </row>
    <row r="10" spans="1:11" ht="13.2">
      <c r="A10" s="777" t="s">
        <v>60</v>
      </c>
      <c r="B10" s="777"/>
      <c r="C10" s="777" t="s">
        <v>61</v>
      </c>
      <c r="D10" s="777"/>
      <c r="E10" s="777"/>
      <c r="F10" s="777" t="s">
        <v>62</v>
      </c>
      <c r="G10" s="777"/>
      <c r="H10" s="777"/>
      <c r="I10" s="365" t="s">
        <v>63</v>
      </c>
    </row>
    <row r="11" spans="1:11" ht="13.2">
      <c r="A11" s="767" t="s">
        <v>64</v>
      </c>
      <c r="B11" s="768"/>
      <c r="C11" s="761" t="s">
        <v>65</v>
      </c>
      <c r="D11" s="762"/>
      <c r="E11" s="763"/>
      <c r="F11" s="784">
        <v>250</v>
      </c>
      <c r="G11" s="785"/>
      <c r="H11" s="786"/>
      <c r="I11" s="366" t="s">
        <v>66</v>
      </c>
    </row>
    <row r="12" spans="1:11" ht="13.2">
      <c r="A12" s="769"/>
      <c r="B12" s="770"/>
      <c r="C12" s="761" t="s">
        <v>67</v>
      </c>
      <c r="D12" s="762"/>
      <c r="E12" s="763"/>
      <c r="F12" s="784">
        <v>350</v>
      </c>
      <c r="G12" s="785"/>
      <c r="H12" s="786"/>
      <c r="I12" s="366" t="s">
        <v>66</v>
      </c>
    </row>
    <row r="13" spans="1:11" ht="13.2">
      <c r="A13" s="771"/>
      <c r="B13" s="772"/>
      <c r="C13" s="761" t="s">
        <v>68</v>
      </c>
      <c r="D13" s="762"/>
      <c r="E13" s="763"/>
      <c r="F13" s="784">
        <v>150</v>
      </c>
      <c r="G13" s="785"/>
      <c r="H13" s="786"/>
      <c r="I13" s="366" t="s">
        <v>66</v>
      </c>
    </row>
    <row r="14" spans="1:11" ht="13.2">
      <c r="A14" s="757" t="s">
        <v>69</v>
      </c>
      <c r="B14" s="758"/>
      <c r="C14" s="764" t="s">
        <v>70</v>
      </c>
      <c r="D14" s="765"/>
      <c r="E14" s="766"/>
      <c r="F14" s="787">
        <v>400</v>
      </c>
      <c r="G14" s="754"/>
      <c r="H14" s="755"/>
      <c r="I14" s="367" t="s">
        <v>66</v>
      </c>
    </row>
    <row r="15" spans="1:11" ht="12.75" customHeight="1">
      <c r="A15" s="773"/>
      <c r="B15" s="774"/>
      <c r="C15" s="764" t="s">
        <v>71</v>
      </c>
      <c r="D15" s="765"/>
      <c r="E15" s="766"/>
      <c r="F15" s="787">
        <v>600</v>
      </c>
      <c r="G15" s="754"/>
      <c r="H15" s="755"/>
      <c r="I15" s="367" t="s">
        <v>66</v>
      </c>
    </row>
    <row r="16" spans="1:11" ht="12.75" customHeight="1">
      <c r="A16" s="773"/>
      <c r="B16" s="774"/>
      <c r="C16" s="764" t="s">
        <v>72</v>
      </c>
      <c r="D16" s="765"/>
      <c r="E16" s="766"/>
      <c r="F16" s="787">
        <v>750</v>
      </c>
      <c r="G16" s="754"/>
      <c r="H16" s="755"/>
      <c r="I16" s="367" t="s">
        <v>66</v>
      </c>
    </row>
    <row r="17" spans="1:9" ht="12.75" customHeight="1">
      <c r="A17" s="759"/>
      <c r="B17" s="760"/>
      <c r="C17" s="764" t="s">
        <v>73</v>
      </c>
      <c r="D17" s="765"/>
      <c r="E17" s="766"/>
      <c r="F17" s="787">
        <v>1000</v>
      </c>
      <c r="G17" s="754"/>
      <c r="H17" s="755"/>
      <c r="I17" s="367" t="s">
        <v>66</v>
      </c>
    </row>
    <row r="18" spans="1:9" ht="13.2">
      <c r="A18" s="767" t="s">
        <v>74</v>
      </c>
      <c r="B18" s="768"/>
      <c r="C18" s="761" t="s">
        <v>70</v>
      </c>
      <c r="D18" s="762"/>
      <c r="E18" s="763"/>
      <c r="F18" s="784">
        <v>1000</v>
      </c>
      <c r="G18" s="785"/>
      <c r="H18" s="786"/>
      <c r="I18" s="366" t="s">
        <v>66</v>
      </c>
    </row>
    <row r="19" spans="1:9" ht="12.75" customHeight="1">
      <c r="A19" s="769"/>
      <c r="B19" s="770"/>
      <c r="C19" s="761" t="s">
        <v>71</v>
      </c>
      <c r="D19" s="762"/>
      <c r="E19" s="763"/>
      <c r="F19" s="784">
        <v>1000</v>
      </c>
      <c r="G19" s="785"/>
      <c r="H19" s="786"/>
      <c r="I19" s="366" t="s">
        <v>66</v>
      </c>
    </row>
    <row r="20" spans="1:9" ht="12.75" customHeight="1">
      <c r="A20" s="769"/>
      <c r="B20" s="770"/>
      <c r="C20" s="761" t="s">
        <v>72</v>
      </c>
      <c r="D20" s="762"/>
      <c r="E20" s="763"/>
      <c r="F20" s="784">
        <v>1500</v>
      </c>
      <c r="G20" s="785"/>
      <c r="H20" s="786"/>
      <c r="I20" s="366" t="s">
        <v>66</v>
      </c>
    </row>
    <row r="21" spans="1:9" ht="12.75" customHeight="1">
      <c r="A21" s="771"/>
      <c r="B21" s="772"/>
      <c r="C21" s="761" t="s">
        <v>73</v>
      </c>
      <c r="D21" s="762"/>
      <c r="E21" s="763"/>
      <c r="F21" s="784">
        <v>2000</v>
      </c>
      <c r="G21" s="785"/>
      <c r="H21" s="786"/>
      <c r="I21" s="366" t="s">
        <v>66</v>
      </c>
    </row>
    <row r="22" spans="1:9" ht="42.75" customHeight="1">
      <c r="A22" s="764" t="s">
        <v>19</v>
      </c>
      <c r="B22" s="766"/>
      <c r="C22" s="764" t="s">
        <v>75</v>
      </c>
      <c r="D22" s="765"/>
      <c r="E22" s="766"/>
      <c r="F22" s="787">
        <v>350</v>
      </c>
      <c r="G22" s="754"/>
      <c r="H22" s="755"/>
      <c r="I22" s="367" t="s">
        <v>66</v>
      </c>
    </row>
    <row r="23" spans="1:9" ht="12.75" customHeight="1">
      <c r="A23" s="761" t="s">
        <v>20</v>
      </c>
      <c r="B23" s="763"/>
      <c r="C23" s="761" t="s">
        <v>76</v>
      </c>
      <c r="D23" s="762"/>
      <c r="E23" s="763"/>
      <c r="F23" s="784">
        <v>200</v>
      </c>
      <c r="G23" s="785"/>
      <c r="H23" s="786"/>
      <c r="I23" s="366" t="s">
        <v>66</v>
      </c>
    </row>
    <row r="24" spans="1:9" ht="12.75" customHeight="1">
      <c r="A24" s="757" t="s">
        <v>77</v>
      </c>
      <c r="B24" s="758"/>
      <c r="C24" s="764" t="s">
        <v>78</v>
      </c>
      <c r="D24" s="765"/>
      <c r="E24" s="766"/>
      <c r="F24" s="787">
        <v>2000</v>
      </c>
      <c r="G24" s="754"/>
      <c r="H24" s="755"/>
      <c r="I24" s="367" t="s">
        <v>66</v>
      </c>
    </row>
    <row r="25" spans="1:9" ht="12.75" customHeight="1">
      <c r="A25" s="759"/>
      <c r="B25" s="760"/>
      <c r="C25" s="764" t="s">
        <v>79</v>
      </c>
      <c r="D25" s="765"/>
      <c r="E25" s="766"/>
      <c r="F25" s="787">
        <v>3000</v>
      </c>
      <c r="G25" s="754"/>
      <c r="H25" s="755"/>
      <c r="I25" s="367" t="s">
        <v>66</v>
      </c>
    </row>
    <row r="26" spans="1:9" ht="12.75" customHeight="1">
      <c r="A26" s="767" t="s">
        <v>80</v>
      </c>
      <c r="B26" s="768"/>
      <c r="C26" s="761" t="s">
        <v>78</v>
      </c>
      <c r="D26" s="762"/>
      <c r="E26" s="763"/>
      <c r="F26" s="784">
        <v>1000</v>
      </c>
      <c r="G26" s="785"/>
      <c r="H26" s="786"/>
      <c r="I26" s="366" t="s">
        <v>66</v>
      </c>
    </row>
    <row r="27" spans="1:9" ht="12.75" customHeight="1">
      <c r="A27" s="771"/>
      <c r="B27" s="772"/>
      <c r="C27" s="761" t="s">
        <v>79</v>
      </c>
      <c r="D27" s="762"/>
      <c r="E27" s="763"/>
      <c r="F27" s="784">
        <v>1500</v>
      </c>
      <c r="G27" s="785"/>
      <c r="H27" s="786"/>
      <c r="I27" s="366" t="s">
        <v>66</v>
      </c>
    </row>
    <row r="28" spans="1:9" ht="13.2">
      <c r="A28" s="757" t="s">
        <v>81</v>
      </c>
      <c r="B28" s="758"/>
      <c r="C28" s="764" t="s">
        <v>82</v>
      </c>
      <c r="D28" s="765"/>
      <c r="E28" s="766"/>
      <c r="F28" s="787">
        <v>1000</v>
      </c>
      <c r="G28" s="754"/>
      <c r="H28" s="755"/>
      <c r="I28" s="367" t="s">
        <v>66</v>
      </c>
    </row>
    <row r="29" spans="1:9" ht="13.2">
      <c r="A29" s="759"/>
      <c r="B29" s="760"/>
      <c r="C29" s="764" t="s">
        <v>83</v>
      </c>
      <c r="D29" s="765"/>
      <c r="E29" s="766"/>
      <c r="F29" s="787">
        <v>500</v>
      </c>
      <c r="G29" s="754"/>
      <c r="H29" s="755"/>
      <c r="I29" s="367" t="s">
        <v>66</v>
      </c>
    </row>
    <row r="30" spans="1:9" ht="13.2">
      <c r="A30" s="761" t="s">
        <v>84</v>
      </c>
      <c r="B30" s="763"/>
      <c r="C30" s="761" t="s">
        <v>85</v>
      </c>
      <c r="D30" s="762"/>
      <c r="E30" s="763"/>
      <c r="F30" s="784">
        <v>1250</v>
      </c>
      <c r="G30" s="785"/>
      <c r="H30" s="786"/>
      <c r="I30" s="366" t="s">
        <v>66</v>
      </c>
    </row>
    <row r="31" spans="1:9" ht="13.2">
      <c r="A31" s="764" t="s">
        <v>24</v>
      </c>
      <c r="B31" s="766"/>
      <c r="C31" s="764" t="s">
        <v>86</v>
      </c>
      <c r="D31" s="765"/>
      <c r="E31" s="766"/>
      <c r="F31" s="787">
        <v>1000</v>
      </c>
      <c r="G31" s="754"/>
      <c r="H31" s="755"/>
      <c r="I31" s="367" t="s">
        <v>66</v>
      </c>
    </row>
    <row r="32" spans="1:9" ht="13.2">
      <c r="A32" s="761" t="s">
        <v>26</v>
      </c>
      <c r="B32" s="763"/>
      <c r="C32" s="761" t="s">
        <v>86</v>
      </c>
      <c r="D32" s="762"/>
      <c r="E32" s="763"/>
      <c r="F32" s="784">
        <v>350</v>
      </c>
      <c r="G32" s="785"/>
      <c r="H32" s="786"/>
      <c r="I32" s="366" t="s">
        <v>66</v>
      </c>
    </row>
    <row r="33" spans="1:9" ht="13.2">
      <c r="A33" s="757" t="s">
        <v>29</v>
      </c>
      <c r="B33" s="758"/>
      <c r="C33" s="764" t="s">
        <v>87</v>
      </c>
      <c r="D33" s="765"/>
      <c r="E33" s="766"/>
      <c r="F33" s="787">
        <v>750</v>
      </c>
      <c r="G33" s="754"/>
      <c r="H33" s="755"/>
      <c r="I33" s="367" t="s">
        <v>66</v>
      </c>
    </row>
    <row r="34" spans="1:9" ht="13.2">
      <c r="A34" s="759"/>
      <c r="B34" s="760"/>
      <c r="C34" s="764" t="s">
        <v>83</v>
      </c>
      <c r="D34" s="765"/>
      <c r="E34" s="766"/>
      <c r="F34" s="787">
        <v>500</v>
      </c>
      <c r="G34" s="754"/>
      <c r="H34" s="755"/>
      <c r="I34" s="367" t="s">
        <v>66</v>
      </c>
    </row>
    <row r="35" spans="1:9" ht="13.2">
      <c r="A35" s="767" t="s">
        <v>88</v>
      </c>
      <c r="B35" s="768"/>
      <c r="C35" s="761" t="s">
        <v>89</v>
      </c>
      <c r="D35" s="762"/>
      <c r="E35" s="763"/>
      <c r="F35" s="784">
        <v>2000</v>
      </c>
      <c r="G35" s="785"/>
      <c r="H35" s="786"/>
      <c r="I35" s="366" t="s">
        <v>66</v>
      </c>
    </row>
    <row r="36" spans="1:9" ht="13.2">
      <c r="A36" s="771"/>
      <c r="B36" s="772"/>
      <c r="C36" s="761" t="s">
        <v>90</v>
      </c>
      <c r="D36" s="762"/>
      <c r="E36" s="763"/>
      <c r="F36" s="784">
        <v>1500</v>
      </c>
      <c r="G36" s="785"/>
      <c r="H36" s="786"/>
      <c r="I36" s="366" t="s">
        <v>66</v>
      </c>
    </row>
    <row r="37" spans="1:9" ht="12.75" customHeight="1">
      <c r="A37" s="764" t="s">
        <v>32</v>
      </c>
      <c r="B37" s="766"/>
      <c r="C37" s="764" t="s">
        <v>91</v>
      </c>
      <c r="D37" s="765"/>
      <c r="E37" s="766"/>
      <c r="F37" s="787">
        <v>1500</v>
      </c>
      <c r="G37" s="754"/>
      <c r="H37" s="755"/>
      <c r="I37" s="367" t="s">
        <v>66</v>
      </c>
    </row>
    <row r="38" spans="1:9" ht="13.2">
      <c r="A38" s="761" t="s">
        <v>34</v>
      </c>
      <c r="B38" s="763"/>
      <c r="C38" s="761"/>
      <c r="D38" s="762"/>
      <c r="E38" s="763"/>
      <c r="F38" s="784">
        <v>20</v>
      </c>
      <c r="G38" s="785"/>
      <c r="H38" s="786"/>
      <c r="I38" s="366" t="s">
        <v>92</v>
      </c>
    </row>
    <row r="39" spans="1:9" ht="41.25" customHeight="1">
      <c r="A39" s="764" t="s">
        <v>35</v>
      </c>
      <c r="B39" s="766"/>
      <c r="C39" s="764" t="s">
        <v>93</v>
      </c>
      <c r="D39" s="765"/>
      <c r="E39" s="766"/>
      <c r="F39" s="787">
        <v>50</v>
      </c>
      <c r="G39" s="754"/>
      <c r="H39" s="755"/>
      <c r="I39" s="367" t="s">
        <v>94</v>
      </c>
    </row>
    <row r="40" spans="1:9" ht="33" customHeight="1">
      <c r="A40" s="761" t="s">
        <v>36</v>
      </c>
      <c r="B40" s="763"/>
      <c r="C40" s="761" t="s">
        <v>95</v>
      </c>
      <c r="D40" s="762"/>
      <c r="E40" s="763"/>
      <c r="F40" s="784">
        <v>25</v>
      </c>
      <c r="G40" s="785"/>
      <c r="H40" s="786"/>
      <c r="I40" s="366" t="s">
        <v>94</v>
      </c>
    </row>
    <row r="41" spans="1:9" ht="13.2">
      <c r="A41" s="752" t="s">
        <v>924</v>
      </c>
      <c r="B41" s="752"/>
      <c r="C41" s="752" t="s">
        <v>921</v>
      </c>
      <c r="D41" s="752"/>
      <c r="E41" s="752"/>
      <c r="F41" s="753">
        <v>25</v>
      </c>
      <c r="G41" s="754"/>
      <c r="H41" s="755"/>
      <c r="I41" s="367" t="s">
        <v>66</v>
      </c>
    </row>
    <row r="42" spans="1:9" ht="13.8" thickBot="1">
      <c r="A42" s="752"/>
      <c r="B42" s="752"/>
      <c r="C42" s="756" t="s">
        <v>922</v>
      </c>
      <c r="D42" s="756"/>
      <c r="E42" s="756"/>
      <c r="F42" s="753">
        <v>35</v>
      </c>
      <c r="G42" s="754"/>
      <c r="H42" s="755"/>
      <c r="I42" s="367" t="s">
        <v>66</v>
      </c>
    </row>
  </sheetData>
  <sheetProtection algorithmName="SHA-512" hashValue="Pl6wOza6MgFARAYL4bxGMWDvuuuOWuotM3xBIUGIE1Mf5scSqXRch2f3a3S27JGoaiZ3XZcRiiVZG09QBxLZKw==" saltValue="/A7sROVMxYVkIqGaDMyutg==" spinCount="100000" sheet="1" objects="1" scenarios="1"/>
  <mergeCells count="96">
    <mergeCell ref="F26:H26"/>
    <mergeCell ref="F25:H25"/>
    <mergeCell ref="F24:H24"/>
    <mergeCell ref="F40:H40"/>
    <mergeCell ref="A26:B27"/>
    <mergeCell ref="A28:B29"/>
    <mergeCell ref="A30:B30"/>
    <mergeCell ref="A31:B31"/>
    <mergeCell ref="A32:B32"/>
    <mergeCell ref="A33:B34"/>
    <mergeCell ref="A35:B36"/>
    <mergeCell ref="C26:E26"/>
    <mergeCell ref="C27:E27"/>
    <mergeCell ref="C35:E35"/>
    <mergeCell ref="F27:H27"/>
    <mergeCell ref="F28:H28"/>
    <mergeCell ref="F29:H29"/>
    <mergeCell ref="A40:B40"/>
    <mergeCell ref="C40:E40"/>
    <mergeCell ref="A39:B39"/>
    <mergeCell ref="C39:E39"/>
    <mergeCell ref="A38:B38"/>
    <mergeCell ref="C38:E38"/>
    <mergeCell ref="F35:H35"/>
    <mergeCell ref="F36:H36"/>
    <mergeCell ref="A37:B37"/>
    <mergeCell ref="F37:H37"/>
    <mergeCell ref="F38:H38"/>
    <mergeCell ref="C36:E36"/>
    <mergeCell ref="C37:E37"/>
    <mergeCell ref="C28:E28"/>
    <mergeCell ref="F39:H39"/>
    <mergeCell ref="C18:E18"/>
    <mergeCell ref="C34:E34"/>
    <mergeCell ref="C33:E33"/>
    <mergeCell ref="C29:E29"/>
    <mergeCell ref="C30:E30"/>
    <mergeCell ref="C31:E31"/>
    <mergeCell ref="C32:E32"/>
    <mergeCell ref="F30:H30"/>
    <mergeCell ref="F22:H22"/>
    <mergeCell ref="F23:H23"/>
    <mergeCell ref="F31:H31"/>
    <mergeCell ref="F32:H32"/>
    <mergeCell ref="F33:H33"/>
    <mergeCell ref="F34:H34"/>
    <mergeCell ref="F17:H17"/>
    <mergeCell ref="F18:H18"/>
    <mergeCell ref="F19:H19"/>
    <mergeCell ref="F20:H20"/>
    <mergeCell ref="F21:H21"/>
    <mergeCell ref="A1:I1"/>
    <mergeCell ref="A2:I2"/>
    <mergeCell ref="A3:G3"/>
    <mergeCell ref="A4:G4"/>
    <mergeCell ref="A5:I5"/>
    <mergeCell ref="F14:H14"/>
    <mergeCell ref="F15:H15"/>
    <mergeCell ref="F16:H16"/>
    <mergeCell ref="C11:E11"/>
    <mergeCell ref="C12:E12"/>
    <mergeCell ref="C13:E13"/>
    <mergeCell ref="C14:E14"/>
    <mergeCell ref="A7:B7"/>
    <mergeCell ref="A10:B10"/>
    <mergeCell ref="A11:B13"/>
    <mergeCell ref="H3:I4"/>
    <mergeCell ref="C7:E7"/>
    <mergeCell ref="C10:E10"/>
    <mergeCell ref="A6:I6"/>
    <mergeCell ref="G7:I7"/>
    <mergeCell ref="A9:I9"/>
    <mergeCell ref="F10:H10"/>
    <mergeCell ref="F11:H11"/>
    <mergeCell ref="F12:H12"/>
    <mergeCell ref="F13:H13"/>
    <mergeCell ref="A22:B22"/>
    <mergeCell ref="C21:E21"/>
    <mergeCell ref="C22:E22"/>
    <mergeCell ref="A18:B21"/>
    <mergeCell ref="C15:E15"/>
    <mergeCell ref="C17:E17"/>
    <mergeCell ref="C19:E19"/>
    <mergeCell ref="C20:E20"/>
    <mergeCell ref="C16:E16"/>
    <mergeCell ref="A14:B17"/>
    <mergeCell ref="A24:B25"/>
    <mergeCell ref="C23:E23"/>
    <mergeCell ref="C24:E24"/>
    <mergeCell ref="C25:E25"/>
    <mergeCell ref="A23:B23"/>
    <mergeCell ref="C41:E41"/>
    <mergeCell ref="F41:H41"/>
    <mergeCell ref="A41:B42"/>
    <mergeCell ref="C42:E42"/>
    <mergeCell ref="F42:H42"/>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C877-46D8-4D0D-8AB7-C37BF43AC1CC}">
  <sheetPr codeName="Sheet4"/>
  <dimension ref="A1:AC329"/>
  <sheetViews>
    <sheetView topLeftCell="A50" zoomScale="85" zoomScaleNormal="85" workbookViewId="0">
      <selection activeCell="D82" sqref="D82"/>
    </sheetView>
  </sheetViews>
  <sheetFormatPr defaultColWidth="9.109375" defaultRowHeight="13.8"/>
  <cols>
    <col min="1" max="1" width="9.109375" style="12"/>
    <col min="2" max="2" width="28" style="12" customWidth="1"/>
    <col min="3" max="3" width="13" style="12" customWidth="1"/>
    <col min="4" max="4" width="42.88671875" style="12" customWidth="1"/>
    <col min="5" max="5" width="11" style="12" customWidth="1"/>
    <col min="6" max="6" width="25.109375" style="12" bestFit="1" customWidth="1"/>
    <col min="7" max="7" width="9.109375" style="12"/>
    <col min="8" max="8" width="12.33203125" style="1" customWidth="1"/>
    <col min="9" max="9" width="23.6640625" style="1" customWidth="1"/>
    <col min="10" max="10" width="31.6640625" style="1" customWidth="1"/>
    <col min="11" max="11" width="23.33203125" style="1" customWidth="1"/>
    <col min="12" max="12" width="26.33203125" style="1" customWidth="1"/>
    <col min="13" max="13" width="74.44140625" style="1" customWidth="1"/>
    <col min="14" max="19" width="14" style="1" customWidth="1"/>
    <col min="20" max="20" width="27.33203125" style="12" bestFit="1" customWidth="1"/>
    <col min="21" max="21" width="1.88671875" style="134" customWidth="1"/>
    <col min="22" max="22" width="26.5546875" style="12" customWidth="1"/>
    <col min="23" max="24" width="14" style="12" customWidth="1"/>
    <col min="25" max="25" width="19.109375" style="12" bestFit="1" customWidth="1"/>
    <col min="26" max="26" width="18.6640625" style="12" customWidth="1"/>
    <col min="27" max="27" width="34.6640625" style="12" bestFit="1" customWidth="1"/>
    <col min="28" max="16384" width="9.109375" style="12"/>
  </cols>
  <sheetData>
    <row r="1" spans="1:29" ht="17.399999999999999">
      <c r="A1" s="13" t="s">
        <v>96</v>
      </c>
      <c r="U1" s="133"/>
      <c r="V1" s="13" t="s">
        <v>97</v>
      </c>
    </row>
    <row r="2" spans="1:29" ht="14.25" customHeight="1">
      <c r="H2" s="795" t="s">
        <v>98</v>
      </c>
      <c r="I2" s="795" t="s">
        <v>99</v>
      </c>
      <c r="J2" s="795" t="s">
        <v>100</v>
      </c>
      <c r="K2" s="809" t="s">
        <v>101</v>
      </c>
      <c r="L2" s="809" t="s">
        <v>102</v>
      </c>
      <c r="M2" s="809" t="s">
        <v>103</v>
      </c>
      <c r="N2" s="795" t="s">
        <v>104</v>
      </c>
      <c r="O2" s="795" t="s">
        <v>105</v>
      </c>
      <c r="P2" s="795" t="s">
        <v>106</v>
      </c>
      <c r="Q2" s="795" t="s">
        <v>107</v>
      </c>
      <c r="R2" s="795" t="s">
        <v>108</v>
      </c>
      <c r="S2" s="795"/>
      <c r="T2" s="5"/>
      <c r="V2" s="81"/>
      <c r="W2" s="834" t="s">
        <v>109</v>
      </c>
      <c r="X2" s="834"/>
      <c r="Y2" s="834" t="s">
        <v>110</v>
      </c>
      <c r="Z2" s="834"/>
      <c r="AA2" s="835" t="s">
        <v>111</v>
      </c>
      <c r="AB2" s="835"/>
      <c r="AC2" s="81"/>
    </row>
    <row r="3" spans="1:29" ht="22.5" customHeight="1">
      <c r="B3" s="368" t="s">
        <v>112</v>
      </c>
      <c r="D3" s="368" t="s">
        <v>113</v>
      </c>
      <c r="F3" s="368" t="s">
        <v>114</v>
      </c>
      <c r="H3" s="795"/>
      <c r="I3" s="795"/>
      <c r="J3" s="795"/>
      <c r="K3" s="810"/>
      <c r="L3" s="810"/>
      <c r="M3" s="810"/>
      <c r="N3" s="795"/>
      <c r="O3" s="795"/>
      <c r="P3" s="795"/>
      <c r="Q3" s="795"/>
      <c r="R3" s="795"/>
      <c r="S3" s="795"/>
      <c r="T3" s="5"/>
      <c r="V3" s="369" t="s">
        <v>115</v>
      </c>
      <c r="W3" s="370" t="s">
        <v>116</v>
      </c>
      <c r="X3" s="370" t="s">
        <v>117</v>
      </c>
      <c r="Y3" s="370" t="s">
        <v>116</v>
      </c>
      <c r="Z3" s="370" t="s">
        <v>117</v>
      </c>
      <c r="AA3" s="370" t="s">
        <v>118</v>
      </c>
      <c r="AB3" s="370" t="s">
        <v>119</v>
      </c>
      <c r="AC3" s="81"/>
    </row>
    <row r="4" spans="1:29" ht="15" customHeight="1">
      <c r="B4" s="335" t="s">
        <v>120</v>
      </c>
      <c r="D4" s="335" t="s">
        <v>121</v>
      </c>
      <c r="F4" s="335" t="s">
        <v>122</v>
      </c>
      <c r="H4" s="811" t="s">
        <v>123</v>
      </c>
      <c r="I4" s="371" t="s">
        <v>124</v>
      </c>
      <c r="J4" s="371" t="s">
        <v>122</v>
      </c>
      <c r="K4" s="371" t="s">
        <v>125</v>
      </c>
      <c r="L4" s="371" t="s">
        <v>126</v>
      </c>
      <c r="M4" s="371" t="str">
        <f t="shared" ref="M4:M24" si="0">_xlfn.CONCAT(I4," ",J4,K4," ",L4)</f>
        <v>Batch Type Ice-Making Head&lt;300 Electric Resistance (or None)</v>
      </c>
      <c r="N4" s="372">
        <f>(-0.02*(O4)^2)+(1.12*O4)</f>
        <v>11.180000000000003</v>
      </c>
      <c r="O4" s="373">
        <v>13</v>
      </c>
      <c r="P4" s="372">
        <v>12.5</v>
      </c>
      <c r="Q4" s="372">
        <v>15</v>
      </c>
      <c r="R4" s="794" t="s">
        <v>127</v>
      </c>
      <c r="S4" s="794"/>
      <c r="T4" s="5"/>
      <c r="V4" s="132" t="s">
        <v>128</v>
      </c>
      <c r="W4" s="99">
        <v>1114</v>
      </c>
      <c r="X4" s="99">
        <v>1150</v>
      </c>
      <c r="Y4" s="374">
        <v>937</v>
      </c>
      <c r="Z4" s="374">
        <v>922</v>
      </c>
      <c r="AA4" s="374" t="s">
        <v>128</v>
      </c>
      <c r="AB4" s="374">
        <v>239</v>
      </c>
      <c r="AC4" s="81"/>
    </row>
    <row r="5" spans="1:29" ht="14.25" customHeight="1">
      <c r="B5" s="335" t="s">
        <v>129</v>
      </c>
      <c r="D5" s="335" t="s">
        <v>130</v>
      </c>
      <c r="F5" s="335" t="s">
        <v>131</v>
      </c>
      <c r="H5" s="812"/>
      <c r="I5" s="371" t="s">
        <v>124</v>
      </c>
      <c r="J5" s="371" t="s">
        <v>122</v>
      </c>
      <c r="K5" s="371" t="s">
        <v>132</v>
      </c>
      <c r="L5" s="371" t="s">
        <v>133</v>
      </c>
      <c r="M5" s="371" t="str">
        <f t="shared" si="0"/>
        <v>Batch Type Ice-Making Head≥300 to &lt;800 Other</v>
      </c>
      <c r="N5" s="372">
        <f>(-0.02*(O5)^2)+(1.12*O5)</f>
        <v>11.180000000000003</v>
      </c>
      <c r="O5" s="373">
        <v>13</v>
      </c>
      <c r="P5" s="372">
        <v>12.5</v>
      </c>
      <c r="Q5" s="372">
        <v>15</v>
      </c>
      <c r="R5" s="794" t="s">
        <v>127</v>
      </c>
      <c r="S5" s="794"/>
      <c r="T5" s="5"/>
      <c r="V5" s="375" t="s">
        <v>134</v>
      </c>
      <c r="W5" s="374">
        <v>713</v>
      </c>
      <c r="X5" s="374">
        <v>736</v>
      </c>
      <c r="Y5" s="374">
        <v>713</v>
      </c>
      <c r="Z5" s="374">
        <v>701</v>
      </c>
      <c r="AA5" s="374" t="s">
        <v>135</v>
      </c>
      <c r="AB5" s="374">
        <v>1520</v>
      </c>
      <c r="AC5" s="81"/>
    </row>
    <row r="6" spans="1:29" ht="14.25" customHeight="1">
      <c r="D6" s="335" t="s">
        <v>136</v>
      </c>
      <c r="F6" s="335" t="s">
        <v>137</v>
      </c>
      <c r="H6" s="812"/>
      <c r="I6" s="371" t="s">
        <v>124</v>
      </c>
      <c r="J6" s="371" t="s">
        <v>122</v>
      </c>
      <c r="K6" s="371" t="s">
        <v>138</v>
      </c>
      <c r="L6" s="371" t="s">
        <v>126</v>
      </c>
      <c r="M6" s="371" t="str">
        <f t="shared" si="0"/>
        <v>Batch Type Ice-Making Head≥800 to &lt;1,500 Electric Resistance (or None)</v>
      </c>
      <c r="N6" s="372">
        <f>(-0.02*(O6)^2)+(1.12*O6)</f>
        <v>11.760000000000002</v>
      </c>
      <c r="O6" s="373">
        <v>14</v>
      </c>
      <c r="P6" s="372">
        <v>12</v>
      </c>
      <c r="Q6" s="372">
        <v>15</v>
      </c>
      <c r="R6" s="794" t="s">
        <v>127</v>
      </c>
      <c r="S6" s="794"/>
      <c r="T6" s="5"/>
      <c r="U6" s="135"/>
      <c r="V6" s="375" t="s">
        <v>139</v>
      </c>
      <c r="W6" s="374">
        <v>668</v>
      </c>
      <c r="X6" s="374">
        <v>689</v>
      </c>
      <c r="Y6" s="374">
        <v>293</v>
      </c>
      <c r="Z6" s="374">
        <v>288</v>
      </c>
      <c r="AA6" s="374" t="s">
        <v>140</v>
      </c>
      <c r="AB6" s="374">
        <v>250</v>
      </c>
      <c r="AC6" s="81"/>
    </row>
    <row r="7" spans="1:29" ht="15" customHeight="1">
      <c r="D7" s="335" t="s">
        <v>141</v>
      </c>
      <c r="F7"/>
      <c r="H7" s="812"/>
      <c r="I7" s="371" t="s">
        <v>124</v>
      </c>
      <c r="J7" s="371" t="s">
        <v>122</v>
      </c>
      <c r="K7" s="371" t="s">
        <v>142</v>
      </c>
      <c r="L7" s="371" t="s">
        <v>133</v>
      </c>
      <c r="M7" s="371" t="str">
        <f t="shared" si="0"/>
        <v>Batch Type Ice-Making Head≥1,500 to &lt;4,000 Other</v>
      </c>
      <c r="N7" s="372">
        <f>(-0.02*(O7)^2)+(1.12*O7)</f>
        <v>11.760000000000002</v>
      </c>
      <c r="O7" s="373">
        <v>14</v>
      </c>
      <c r="P7" s="372">
        <v>12</v>
      </c>
      <c r="Q7" s="372">
        <v>15</v>
      </c>
      <c r="R7" s="794" t="s">
        <v>127</v>
      </c>
      <c r="S7" s="794"/>
      <c r="T7" s="5"/>
      <c r="V7" s="375" t="s">
        <v>143</v>
      </c>
      <c r="W7" s="374">
        <v>647</v>
      </c>
      <c r="X7" s="374">
        <v>668</v>
      </c>
      <c r="Y7" s="374">
        <v>348</v>
      </c>
      <c r="Z7" s="374">
        <v>342</v>
      </c>
      <c r="AA7" s="374" t="s">
        <v>140</v>
      </c>
      <c r="AB7" s="374">
        <v>250</v>
      </c>
      <c r="AC7" s="81"/>
    </row>
    <row r="8" spans="1:29" ht="15" customHeight="1">
      <c r="B8" s="368" t="s">
        <v>144</v>
      </c>
      <c r="D8" s="335" t="s">
        <v>145</v>
      </c>
      <c r="F8" s="368" t="s">
        <v>146</v>
      </c>
      <c r="H8" s="812"/>
      <c r="I8" s="371" t="s">
        <v>124</v>
      </c>
      <c r="J8" s="371" t="s">
        <v>131</v>
      </c>
      <c r="K8" s="371" t="s">
        <v>147</v>
      </c>
      <c r="L8" s="371" t="s">
        <v>126</v>
      </c>
      <c r="M8" s="371" t="str">
        <f t="shared" si="0"/>
        <v>Batch Type Remote Condensing Unit≥5.4 to &lt;11.25 tons Electric Resistance (or None)</v>
      </c>
      <c r="N8" s="373">
        <v>11.2</v>
      </c>
      <c r="O8" s="373">
        <v>12.8</v>
      </c>
      <c r="P8" s="372">
        <v>12.2</v>
      </c>
      <c r="Q8" s="372">
        <v>14</v>
      </c>
      <c r="R8" s="794" t="s">
        <v>127</v>
      </c>
      <c r="S8" s="794"/>
      <c r="T8" s="5"/>
      <c r="V8" s="375" t="s">
        <v>148</v>
      </c>
      <c r="W8" s="374">
        <v>719</v>
      </c>
      <c r="X8" s="374">
        <v>742</v>
      </c>
      <c r="Y8" s="374">
        <v>337</v>
      </c>
      <c r="Z8" s="374">
        <v>331</v>
      </c>
      <c r="AA8" s="374" t="s">
        <v>149</v>
      </c>
      <c r="AB8" s="374">
        <v>1520</v>
      </c>
      <c r="AC8" s="81"/>
    </row>
    <row r="9" spans="1:29" ht="15" customHeight="1">
      <c r="B9" s="335" t="s">
        <v>150</v>
      </c>
      <c r="F9" s="335" t="s">
        <v>124</v>
      </c>
      <c r="H9" s="812"/>
      <c r="I9" s="371" t="s">
        <v>124</v>
      </c>
      <c r="J9" s="371" t="s">
        <v>131</v>
      </c>
      <c r="K9" s="371" t="s">
        <v>147</v>
      </c>
      <c r="L9" s="371" t="s">
        <v>133</v>
      </c>
      <c r="M9" s="371" t="str">
        <f t="shared" si="0"/>
        <v>Batch Type Remote Condensing Unit≥5.4 to &lt;11.25 tons Other</v>
      </c>
      <c r="N9" s="373">
        <v>11</v>
      </c>
      <c r="O9" s="373">
        <v>12.6</v>
      </c>
      <c r="P9" s="372">
        <v>12</v>
      </c>
      <c r="Q9" s="372">
        <v>13.8</v>
      </c>
      <c r="R9" s="794" t="s">
        <v>127</v>
      </c>
      <c r="S9" s="794"/>
      <c r="T9" s="5"/>
      <c r="V9" s="375" t="s">
        <v>151</v>
      </c>
      <c r="W9" s="374">
        <v>530</v>
      </c>
      <c r="X9" s="374">
        <v>546</v>
      </c>
      <c r="Y9" s="374">
        <v>787</v>
      </c>
      <c r="Z9" s="374">
        <v>774</v>
      </c>
      <c r="AA9" s="374" t="s">
        <v>152</v>
      </c>
      <c r="AB9" s="374">
        <v>1000</v>
      </c>
      <c r="AC9" s="81"/>
    </row>
    <row r="10" spans="1:29" ht="15" customHeight="1">
      <c r="B10" s="335" t="s">
        <v>153</v>
      </c>
      <c r="D10" s="368" t="s">
        <v>154</v>
      </c>
      <c r="F10" s="335" t="s">
        <v>155</v>
      </c>
      <c r="H10" s="812"/>
      <c r="I10" s="371" t="s">
        <v>124</v>
      </c>
      <c r="J10" s="371" t="s">
        <v>131</v>
      </c>
      <c r="K10" s="371" t="s">
        <v>147</v>
      </c>
      <c r="L10" s="371" t="s">
        <v>126</v>
      </c>
      <c r="M10" s="371" t="str">
        <f t="shared" si="0"/>
        <v>Batch Type Remote Condensing Unit≥5.4 to &lt;11.25 tons Electric Resistance (or None)</v>
      </c>
      <c r="N10" s="373">
        <v>11.2</v>
      </c>
      <c r="O10" s="373">
        <v>12.8</v>
      </c>
      <c r="P10" s="372">
        <v>12.2</v>
      </c>
      <c r="Q10" s="372">
        <v>14</v>
      </c>
      <c r="R10" s="794" t="s">
        <v>127</v>
      </c>
      <c r="S10" s="794"/>
      <c r="T10" s="5"/>
      <c r="V10" s="375" t="s">
        <v>156</v>
      </c>
      <c r="W10" s="374">
        <v>984</v>
      </c>
      <c r="X10" s="376">
        <v>1015</v>
      </c>
      <c r="Y10" s="374">
        <v>672</v>
      </c>
      <c r="Z10" s="374">
        <v>662</v>
      </c>
      <c r="AA10" s="374" t="s">
        <v>156</v>
      </c>
      <c r="AB10" s="374">
        <v>172</v>
      </c>
      <c r="AC10" s="81"/>
    </row>
    <row r="11" spans="1:29" ht="15" customHeight="1">
      <c r="D11" s="335" t="s">
        <v>121</v>
      </c>
      <c r="F11"/>
      <c r="H11" s="812"/>
      <c r="I11" s="371" t="s">
        <v>124</v>
      </c>
      <c r="J11" s="371" t="s">
        <v>131</v>
      </c>
      <c r="K11" s="371" t="s">
        <v>147</v>
      </c>
      <c r="L11" s="371" t="s">
        <v>133</v>
      </c>
      <c r="M11" s="371" t="str">
        <f t="shared" si="0"/>
        <v>Batch Type Remote Condensing Unit≥5.4 to &lt;11.25 tons Other</v>
      </c>
      <c r="N11" s="373">
        <v>11</v>
      </c>
      <c r="O11" s="373">
        <v>12.6</v>
      </c>
      <c r="P11" s="372">
        <v>12</v>
      </c>
      <c r="Q11" s="372">
        <v>13.8</v>
      </c>
      <c r="R11" s="794" t="s">
        <v>127</v>
      </c>
      <c r="S11" s="794"/>
      <c r="T11" s="5"/>
      <c r="V11" s="375" t="s">
        <v>157</v>
      </c>
      <c r="W11" s="374">
        <v>214</v>
      </c>
      <c r="X11" s="374">
        <v>221</v>
      </c>
      <c r="Y11" s="376">
        <v>1213</v>
      </c>
      <c r="Z11" s="376">
        <v>1194</v>
      </c>
      <c r="AA11" s="374" t="s">
        <v>158</v>
      </c>
      <c r="AB11" s="376">
        <v>16938</v>
      </c>
      <c r="AC11" s="81"/>
    </row>
    <row r="12" spans="1:29" ht="15" customHeight="1">
      <c r="B12" s="368" t="s">
        <v>159</v>
      </c>
      <c r="D12" s="335" t="s">
        <v>130</v>
      </c>
      <c r="F12"/>
      <c r="H12" s="812"/>
      <c r="I12" s="371" t="s">
        <v>124</v>
      </c>
      <c r="J12" s="371" t="s">
        <v>137</v>
      </c>
      <c r="K12" s="371" t="s">
        <v>160</v>
      </c>
      <c r="L12" s="371" t="s">
        <v>126</v>
      </c>
      <c r="M12" s="371" t="str">
        <f t="shared" si="0"/>
        <v>Batch Type Self-Contained Unit≥11.25 to &lt;20 tons Electric Resistance (or None)</v>
      </c>
      <c r="N12" s="373">
        <v>11</v>
      </c>
      <c r="O12" s="373">
        <v>12.4</v>
      </c>
      <c r="P12" s="372">
        <v>12.2</v>
      </c>
      <c r="Q12" s="372">
        <v>13.2</v>
      </c>
      <c r="R12" s="794" t="s">
        <v>127</v>
      </c>
      <c r="S12" s="794"/>
      <c r="T12" s="5"/>
      <c r="V12" s="375" t="s">
        <v>161</v>
      </c>
      <c r="W12" s="374">
        <v>932</v>
      </c>
      <c r="X12" s="374">
        <v>962</v>
      </c>
      <c r="Y12" s="374">
        <v>645</v>
      </c>
      <c r="Z12" s="374">
        <v>634</v>
      </c>
      <c r="AA12" s="374" t="s">
        <v>162</v>
      </c>
      <c r="AB12" s="374">
        <v>8600</v>
      </c>
      <c r="AC12" s="81"/>
    </row>
    <row r="13" spans="1:29" ht="15" customHeight="1">
      <c r="B13" s="335" t="s">
        <v>163</v>
      </c>
      <c r="D13" s="335" t="s">
        <v>164</v>
      </c>
      <c r="F13"/>
      <c r="H13" s="812"/>
      <c r="I13" s="371" t="s">
        <v>124</v>
      </c>
      <c r="J13" s="371" t="s">
        <v>137</v>
      </c>
      <c r="K13" s="371" t="s">
        <v>160</v>
      </c>
      <c r="L13" s="371" t="s">
        <v>133</v>
      </c>
      <c r="M13" s="371" t="str">
        <f t="shared" si="0"/>
        <v>Batch Type Self-Contained Unit≥11.25 to &lt;20 tons Other</v>
      </c>
      <c r="N13" s="373">
        <v>10.8</v>
      </c>
      <c r="O13" s="373">
        <v>12.2</v>
      </c>
      <c r="P13" s="372">
        <v>12</v>
      </c>
      <c r="Q13" s="372">
        <v>13</v>
      </c>
      <c r="R13" s="794" t="s">
        <v>127</v>
      </c>
      <c r="S13" s="794"/>
      <c r="T13" s="5"/>
      <c r="V13" s="375" t="s">
        <v>165</v>
      </c>
      <c r="W13" s="376">
        <v>2242</v>
      </c>
      <c r="X13" s="376">
        <v>2313</v>
      </c>
      <c r="Y13" s="376">
        <v>1816</v>
      </c>
      <c r="Z13" s="376">
        <v>1787</v>
      </c>
      <c r="AA13" s="374" t="s">
        <v>166</v>
      </c>
      <c r="AB13" s="376">
        <v>9104</v>
      </c>
      <c r="AC13" s="81"/>
    </row>
    <row r="14" spans="1:29" ht="15" customHeight="1">
      <c r="B14" s="335" t="s">
        <v>167</v>
      </c>
      <c r="F14"/>
      <c r="H14" s="812"/>
      <c r="I14" s="371" t="s">
        <v>124</v>
      </c>
      <c r="J14" s="371" t="s">
        <v>137</v>
      </c>
      <c r="K14" s="371" t="s">
        <v>160</v>
      </c>
      <c r="L14" s="371" t="s">
        <v>126</v>
      </c>
      <c r="M14" s="371" t="str">
        <f t="shared" si="0"/>
        <v>Batch Type Self-Contained Unit≥11.25 to &lt;20 tons Electric Resistance (or None)</v>
      </c>
      <c r="N14" s="373">
        <v>11</v>
      </c>
      <c r="O14" s="373">
        <v>12.4</v>
      </c>
      <c r="P14" s="372">
        <v>12.2</v>
      </c>
      <c r="Q14" s="372">
        <v>13.2</v>
      </c>
      <c r="R14" s="794" t="s">
        <v>127</v>
      </c>
      <c r="S14" s="794"/>
      <c r="T14" s="5"/>
      <c r="V14" s="375" t="s">
        <v>168</v>
      </c>
      <c r="W14" s="374">
        <v>146</v>
      </c>
      <c r="X14" s="374">
        <v>151</v>
      </c>
      <c r="Y14" s="374">
        <v>867</v>
      </c>
      <c r="Z14" s="374">
        <v>853</v>
      </c>
      <c r="AA14" s="374" t="s">
        <v>169</v>
      </c>
      <c r="AB14" s="374">
        <v>489</v>
      </c>
      <c r="AC14" s="81"/>
    </row>
    <row r="15" spans="1:29" ht="15" customHeight="1">
      <c r="D15" s="368" t="s">
        <v>170</v>
      </c>
      <c r="F15"/>
      <c r="H15" s="812"/>
      <c r="I15" s="371" t="s">
        <v>155</v>
      </c>
      <c r="J15" s="371" t="s">
        <v>122</v>
      </c>
      <c r="K15" s="371" t="s">
        <v>160</v>
      </c>
      <c r="L15" s="371" t="s">
        <v>133</v>
      </c>
      <c r="M15" s="371" t="str">
        <f t="shared" si="0"/>
        <v>Continuous Ice-Making Head≥11.25 to &lt;20 tons Other</v>
      </c>
      <c r="N15" s="373">
        <v>10.8</v>
      </c>
      <c r="O15" s="373">
        <v>12.2</v>
      </c>
      <c r="P15" s="372">
        <v>12</v>
      </c>
      <c r="Q15" s="372">
        <v>13</v>
      </c>
      <c r="R15" s="794" t="s">
        <v>127</v>
      </c>
      <c r="S15" s="794"/>
      <c r="T15" s="5"/>
      <c r="V15" s="375" t="s">
        <v>171</v>
      </c>
      <c r="W15" s="374">
        <v>585</v>
      </c>
      <c r="X15" s="374">
        <v>603</v>
      </c>
      <c r="Y15" s="374">
        <v>456</v>
      </c>
      <c r="Z15" s="374">
        <v>449</v>
      </c>
      <c r="AA15" s="374" t="s">
        <v>169</v>
      </c>
      <c r="AB15" s="374">
        <v>489</v>
      </c>
      <c r="AC15" s="81"/>
    </row>
    <row r="16" spans="1:29" ht="15" customHeight="1">
      <c r="B16" s="368" t="s">
        <v>172</v>
      </c>
      <c r="D16" s="335" t="s">
        <v>173</v>
      </c>
      <c r="F16"/>
      <c r="H16" s="812"/>
      <c r="I16" s="371" t="s">
        <v>155</v>
      </c>
      <c r="J16" s="371" t="s">
        <v>122</v>
      </c>
      <c r="K16" s="371" t="s">
        <v>174</v>
      </c>
      <c r="L16" s="371" t="s">
        <v>126</v>
      </c>
      <c r="M16" s="371" t="str">
        <f t="shared" si="0"/>
        <v>Continuous Ice-Making Head≥310 to &lt;820 Electric Resistance (or None)</v>
      </c>
      <c r="N16" s="373">
        <v>10</v>
      </c>
      <c r="O16" s="373">
        <v>11.6</v>
      </c>
      <c r="P16" s="372">
        <v>10.5</v>
      </c>
      <c r="Q16" s="372">
        <v>12.3</v>
      </c>
      <c r="R16" s="794" t="s">
        <v>127</v>
      </c>
      <c r="S16" s="794"/>
      <c r="T16" s="5"/>
      <c r="U16" s="136"/>
      <c r="V16" s="375" t="s">
        <v>175</v>
      </c>
      <c r="W16" s="374">
        <v>256</v>
      </c>
      <c r="X16" s="374">
        <v>264</v>
      </c>
      <c r="Y16" s="376">
        <v>1509</v>
      </c>
      <c r="Z16" s="376">
        <v>1485</v>
      </c>
      <c r="AA16" s="374" t="s">
        <v>176</v>
      </c>
      <c r="AB16" s="376">
        <v>552</v>
      </c>
      <c r="AC16" s="81"/>
    </row>
    <row r="17" spans="2:29" ht="15" customHeight="1">
      <c r="B17" s="335" t="s">
        <v>177</v>
      </c>
      <c r="D17" s="335" t="s">
        <v>178</v>
      </c>
      <c r="F17"/>
      <c r="H17" s="812"/>
      <c r="I17" s="371" t="s">
        <v>155</v>
      </c>
      <c r="J17" s="371" t="s">
        <v>122</v>
      </c>
      <c r="K17" s="371" t="s">
        <v>179</v>
      </c>
      <c r="L17" s="371" t="s">
        <v>133</v>
      </c>
      <c r="M17" s="371" t="str">
        <f t="shared" si="0"/>
        <v>Continuous Ice-Making Head≥820 to &lt;4,000 Other</v>
      </c>
      <c r="N17" s="373">
        <v>9.8000000000000007</v>
      </c>
      <c r="O17" s="373">
        <v>11.4</v>
      </c>
      <c r="P17" s="372">
        <v>10.3</v>
      </c>
      <c r="Q17" s="372">
        <v>12.1</v>
      </c>
      <c r="R17" s="794" t="s">
        <v>127</v>
      </c>
      <c r="S17" s="794"/>
      <c r="T17" s="5"/>
      <c r="V17" s="375" t="s">
        <v>180</v>
      </c>
      <c r="W17" s="374">
        <v>221</v>
      </c>
      <c r="X17" s="374">
        <v>228</v>
      </c>
      <c r="Y17" s="374">
        <v>727</v>
      </c>
      <c r="Z17" s="374">
        <v>716</v>
      </c>
      <c r="AA17" s="374" t="s">
        <v>181</v>
      </c>
      <c r="AB17" s="374">
        <v>550</v>
      </c>
      <c r="AC17" s="81"/>
    </row>
    <row r="18" spans="2:29" ht="15" customHeight="1">
      <c r="B18" s="335" t="s">
        <v>182</v>
      </c>
      <c r="D18" s="335" t="s">
        <v>183</v>
      </c>
      <c r="F18"/>
      <c r="H18" s="812"/>
      <c r="I18" s="371" t="s">
        <v>155</v>
      </c>
      <c r="J18" s="371" t="s">
        <v>131</v>
      </c>
      <c r="K18" s="371" t="s">
        <v>184</v>
      </c>
      <c r="L18" s="371" t="s">
        <v>126</v>
      </c>
      <c r="M18" s="371" t="str">
        <f t="shared" si="0"/>
        <v>Continuous Remote Condensing Unit≥20 to &lt;63.3 tons Electric Resistance (or None)</v>
      </c>
      <c r="N18" s="373">
        <v>10</v>
      </c>
      <c r="O18" s="373">
        <v>11.6</v>
      </c>
      <c r="P18" s="372">
        <v>10.5</v>
      </c>
      <c r="Q18" s="372">
        <v>12.3</v>
      </c>
      <c r="R18" s="794" t="s">
        <v>127</v>
      </c>
      <c r="S18" s="794"/>
      <c r="T18" s="5"/>
      <c r="V18" s="375" t="s">
        <v>185</v>
      </c>
      <c r="W18" s="374">
        <v>440</v>
      </c>
      <c r="X18" s="374">
        <v>454</v>
      </c>
      <c r="Y18" s="374">
        <v>629</v>
      </c>
      <c r="Z18" s="374">
        <v>619</v>
      </c>
      <c r="AA18" s="374" t="s">
        <v>186</v>
      </c>
      <c r="AB18" s="374">
        <v>110</v>
      </c>
      <c r="AC18" s="81"/>
    </row>
    <row r="19" spans="2:29" ht="15" customHeight="1">
      <c r="D19" s="335" t="s">
        <v>187</v>
      </c>
      <c r="F19"/>
      <c r="H19" s="812"/>
      <c r="I19" s="371" t="s">
        <v>155</v>
      </c>
      <c r="J19" s="371" t="s">
        <v>131</v>
      </c>
      <c r="K19" s="371" t="s">
        <v>184</v>
      </c>
      <c r="L19" s="371" t="s">
        <v>133</v>
      </c>
      <c r="M19" s="371" t="str">
        <f t="shared" si="0"/>
        <v>Continuous Remote Condensing Unit≥20 to &lt;63.3 tons Other</v>
      </c>
      <c r="N19" s="373">
        <v>9.8000000000000007</v>
      </c>
      <c r="O19" s="373">
        <v>11.4</v>
      </c>
      <c r="P19" s="372">
        <v>10.3</v>
      </c>
      <c r="Q19" s="372">
        <v>12.1</v>
      </c>
      <c r="R19" s="794" t="s">
        <v>127</v>
      </c>
      <c r="S19" s="794"/>
      <c r="T19" s="5"/>
      <c r="V19" s="375" t="s">
        <v>188</v>
      </c>
      <c r="W19" s="376">
        <v>1226</v>
      </c>
      <c r="X19" s="376">
        <v>1265</v>
      </c>
      <c r="Y19" s="374">
        <v>724</v>
      </c>
      <c r="Z19" s="374">
        <v>712</v>
      </c>
      <c r="AA19" s="374" t="s">
        <v>189</v>
      </c>
      <c r="AB19" s="374">
        <v>500</v>
      </c>
      <c r="AC19" s="81"/>
    </row>
    <row r="20" spans="2:29" ht="15" customHeight="1">
      <c r="B20" s="368" t="s">
        <v>190</v>
      </c>
      <c r="D20" s="335" t="s">
        <v>191</v>
      </c>
      <c r="F20"/>
      <c r="H20" s="812"/>
      <c r="I20" s="371" t="s">
        <v>155</v>
      </c>
      <c r="J20" s="371" t="s">
        <v>131</v>
      </c>
      <c r="K20" s="371" t="s">
        <v>192</v>
      </c>
      <c r="L20" s="371" t="s">
        <v>126</v>
      </c>
      <c r="M20" s="371" t="str">
        <f t="shared" si="0"/>
        <v>Continuous Remote Condensing Unit≥63.3 tons Electric Resistance (or None)</v>
      </c>
      <c r="N20" s="373">
        <v>9.6999999999999993</v>
      </c>
      <c r="O20" s="373">
        <v>11.2</v>
      </c>
      <c r="P20" s="372">
        <v>9.9</v>
      </c>
      <c r="Q20" s="372">
        <v>11.6</v>
      </c>
      <c r="R20" s="794" t="s">
        <v>127</v>
      </c>
      <c r="S20" s="794"/>
      <c r="T20" s="5"/>
      <c r="V20" s="375" t="s">
        <v>193</v>
      </c>
      <c r="W20" s="376">
        <v>1131</v>
      </c>
      <c r="X20" s="376">
        <v>1167</v>
      </c>
      <c r="Y20" s="374">
        <v>762</v>
      </c>
      <c r="Z20" s="374">
        <v>750</v>
      </c>
      <c r="AA20" s="374" t="s">
        <v>194</v>
      </c>
      <c r="AB20" s="374">
        <v>2500</v>
      </c>
      <c r="AC20" s="81"/>
    </row>
    <row r="21" spans="2:29" ht="15" customHeight="1">
      <c r="B21" s="335" t="s">
        <v>177</v>
      </c>
      <c r="D21" s="335" t="s">
        <v>195</v>
      </c>
      <c r="F21"/>
      <c r="H21" s="812"/>
      <c r="I21" s="371" t="s">
        <v>155</v>
      </c>
      <c r="J21" s="371" t="s">
        <v>131</v>
      </c>
      <c r="K21" s="371" t="s">
        <v>192</v>
      </c>
      <c r="L21" s="371" t="s">
        <v>133</v>
      </c>
      <c r="M21" s="371" t="str">
        <f t="shared" si="0"/>
        <v>Continuous Remote Condensing Unit≥63.3 tons Other</v>
      </c>
      <c r="N21" s="373">
        <v>9.5</v>
      </c>
      <c r="O21" s="373">
        <v>11</v>
      </c>
      <c r="P21" s="372">
        <v>9.6999999999999993</v>
      </c>
      <c r="Q21" s="372">
        <v>11.4</v>
      </c>
      <c r="R21" s="794" t="s">
        <v>127</v>
      </c>
      <c r="S21" s="794"/>
      <c r="T21" s="5"/>
      <c r="V21" s="375" t="s">
        <v>196</v>
      </c>
      <c r="W21" s="374">
        <v>591</v>
      </c>
      <c r="X21" s="374">
        <v>609</v>
      </c>
      <c r="Y21" s="374">
        <v>880</v>
      </c>
      <c r="Z21" s="374">
        <v>866</v>
      </c>
      <c r="AA21" s="374" t="s">
        <v>197</v>
      </c>
      <c r="AB21" s="374">
        <v>446</v>
      </c>
      <c r="AC21" s="81"/>
    </row>
    <row r="22" spans="2:29" ht="15" customHeight="1">
      <c r="B22" s="335" t="s">
        <v>182</v>
      </c>
      <c r="F22"/>
      <c r="H22" s="812"/>
      <c r="I22" s="371" t="s">
        <v>155</v>
      </c>
      <c r="J22" s="371" t="s">
        <v>137</v>
      </c>
      <c r="K22" s="371" t="s">
        <v>192</v>
      </c>
      <c r="L22" s="371" t="s">
        <v>126</v>
      </c>
      <c r="M22" s="371" t="str">
        <f t="shared" si="0"/>
        <v>Continuous Self-Contained Unit≥63.3 tons Electric Resistance (or None)</v>
      </c>
      <c r="N22" s="373">
        <v>9.6999999999999993</v>
      </c>
      <c r="O22" s="373">
        <v>11.2</v>
      </c>
      <c r="P22" s="372">
        <v>9.9</v>
      </c>
      <c r="Q22" s="372">
        <v>11.6</v>
      </c>
      <c r="R22" s="794" t="s">
        <v>127</v>
      </c>
      <c r="S22" s="794"/>
      <c r="T22" s="5"/>
      <c r="V22" s="375" t="s">
        <v>198</v>
      </c>
      <c r="W22" s="374">
        <v>739</v>
      </c>
      <c r="X22" s="374">
        <v>762</v>
      </c>
      <c r="Y22" s="374">
        <v>904</v>
      </c>
      <c r="Z22" s="374">
        <v>890</v>
      </c>
      <c r="AA22" s="374" t="s">
        <v>197</v>
      </c>
      <c r="AB22" s="374">
        <v>446</v>
      </c>
      <c r="AC22" s="81"/>
    </row>
    <row r="23" spans="2:29" ht="15" customHeight="1">
      <c r="D23" s="368" t="s">
        <v>199</v>
      </c>
      <c r="F23"/>
      <c r="H23" s="812"/>
      <c r="I23" s="371" t="s">
        <v>155</v>
      </c>
      <c r="J23" s="371" t="s">
        <v>137</v>
      </c>
      <c r="K23" s="371" t="s">
        <v>192</v>
      </c>
      <c r="L23" s="371" t="s">
        <v>133</v>
      </c>
      <c r="M23" s="371" t="str">
        <f t="shared" si="0"/>
        <v>Continuous Self-Contained Unit≥63.3 tons Other</v>
      </c>
      <c r="N23" s="373">
        <v>9.5</v>
      </c>
      <c r="O23" s="373">
        <v>11</v>
      </c>
      <c r="P23" s="372">
        <v>9.6999999999999993</v>
      </c>
      <c r="Q23" s="372">
        <v>11.4</v>
      </c>
      <c r="R23" s="794" t="s">
        <v>127</v>
      </c>
      <c r="S23" s="794"/>
      <c r="T23" s="5"/>
      <c r="V23" s="375" t="s">
        <v>200</v>
      </c>
      <c r="W23" s="374">
        <v>622</v>
      </c>
      <c r="X23" s="374">
        <v>642</v>
      </c>
      <c r="Y23" s="374">
        <v>915</v>
      </c>
      <c r="Z23" s="374">
        <v>901</v>
      </c>
      <c r="AA23" s="374" t="s">
        <v>201</v>
      </c>
      <c r="AB23" s="374">
        <v>27</v>
      </c>
      <c r="AC23" s="81"/>
    </row>
    <row r="24" spans="2:29" ht="15" customHeight="1">
      <c r="B24" s="368" t="s">
        <v>202</v>
      </c>
      <c r="D24" s="335" t="s">
        <v>203</v>
      </c>
      <c r="F24"/>
      <c r="H24" s="813"/>
      <c r="I24" s="371" t="s">
        <v>155</v>
      </c>
      <c r="J24" s="371" t="s">
        <v>137</v>
      </c>
      <c r="K24" s="371" t="s">
        <v>204</v>
      </c>
      <c r="L24" s="371" t="s">
        <v>126</v>
      </c>
      <c r="M24" s="371" t="str">
        <f t="shared" si="0"/>
        <v>Continuous Self-Contained Unit&lt;5.4 tons Electric Resistance (or None)</v>
      </c>
      <c r="N24" s="372">
        <v>12.1</v>
      </c>
      <c r="O24" s="373">
        <v>12.3</v>
      </c>
      <c r="P24" s="372">
        <v>14</v>
      </c>
      <c r="Q24" s="372">
        <v>0</v>
      </c>
      <c r="R24" s="794" t="s">
        <v>127</v>
      </c>
      <c r="S24" s="794"/>
      <c r="T24" s="5"/>
      <c r="V24" s="375" t="s">
        <v>205</v>
      </c>
      <c r="W24" s="374">
        <v>854</v>
      </c>
      <c r="X24" s="374">
        <v>881</v>
      </c>
      <c r="Y24" s="374">
        <v>243</v>
      </c>
      <c r="Z24" s="374">
        <v>239</v>
      </c>
      <c r="AA24" s="374" t="s">
        <v>206</v>
      </c>
      <c r="AB24" s="374">
        <v>465</v>
      </c>
      <c r="AC24" s="81"/>
    </row>
    <row r="25" spans="2:29" ht="15" customHeight="1">
      <c r="B25" s="335" t="s">
        <v>207</v>
      </c>
      <c r="D25" s="335" t="s">
        <v>208</v>
      </c>
      <c r="F25"/>
      <c r="H25"/>
      <c r="I25"/>
      <c r="J25"/>
      <c r="K25"/>
      <c r="L25"/>
      <c r="M25"/>
      <c r="N25"/>
      <c r="O25"/>
      <c r="P25"/>
      <c r="Q25"/>
      <c r="R25"/>
      <c r="S25"/>
      <c r="T25" s="5"/>
      <c r="V25" s="375" t="s">
        <v>209</v>
      </c>
      <c r="W25" s="374">
        <v>342</v>
      </c>
      <c r="X25" s="374">
        <v>353</v>
      </c>
      <c r="Y25" s="376">
        <v>3886</v>
      </c>
      <c r="Z25" s="376">
        <v>3824</v>
      </c>
      <c r="AA25" s="374" t="s">
        <v>206</v>
      </c>
      <c r="AB25" s="376">
        <v>465</v>
      </c>
      <c r="AC25" s="81"/>
    </row>
    <row r="26" spans="2:29" ht="15" customHeight="1">
      <c r="B26" s="335" t="s">
        <v>133</v>
      </c>
      <c r="F26"/>
      <c r="H26"/>
      <c r="I26"/>
      <c r="J26"/>
      <c r="K26"/>
      <c r="L26"/>
      <c r="M26"/>
      <c r="N26"/>
      <c r="O26"/>
      <c r="P26"/>
      <c r="Q26"/>
      <c r="R26"/>
      <c r="S26"/>
      <c r="T26" s="5"/>
      <c r="V26" s="100" t="s">
        <v>210</v>
      </c>
      <c r="W26" s="81"/>
      <c r="X26" s="81"/>
      <c r="Y26" s="81"/>
      <c r="Z26" s="81"/>
      <c r="AA26" s="81"/>
      <c r="AB26" s="81"/>
      <c r="AC26" s="81"/>
    </row>
    <row r="27" spans="2:29" ht="15" customHeight="1">
      <c r="D27" s="368" t="s">
        <v>211</v>
      </c>
      <c r="F27"/>
      <c r="H27"/>
      <c r="I27"/>
      <c r="J27"/>
      <c r="K27"/>
      <c r="L27"/>
      <c r="M27"/>
      <c r="N27"/>
      <c r="O27"/>
      <c r="P27"/>
      <c r="Q27"/>
      <c r="R27"/>
      <c r="S27"/>
      <c r="T27" s="5"/>
      <c r="V27" s="101" t="s">
        <v>212</v>
      </c>
      <c r="W27" s="81"/>
      <c r="X27" s="81"/>
      <c r="Y27" s="81"/>
      <c r="Z27" s="81"/>
      <c r="AA27" s="81"/>
      <c r="AB27" s="81"/>
      <c r="AC27" s="81"/>
    </row>
    <row r="28" spans="2:29" ht="15" customHeight="1">
      <c r="B28" s="368" t="s">
        <v>213</v>
      </c>
      <c r="D28" s="335" t="s">
        <v>214</v>
      </c>
      <c r="F28"/>
      <c r="H28"/>
      <c r="I28"/>
      <c r="J28"/>
      <c r="K28"/>
      <c r="L28"/>
      <c r="M28"/>
      <c r="N28"/>
      <c r="O28"/>
      <c r="P28"/>
      <c r="Q28"/>
      <c r="R28"/>
      <c r="S28"/>
      <c r="T28" s="5"/>
      <c r="V28" s="100" t="s">
        <v>215</v>
      </c>
      <c r="W28" s="81"/>
      <c r="X28" s="81"/>
      <c r="Y28" s="81"/>
      <c r="Z28" s="81"/>
      <c r="AA28" s="81"/>
      <c r="AB28" s="81"/>
      <c r="AC28" s="81"/>
    </row>
    <row r="29" spans="2:29" ht="15" customHeight="1">
      <c r="B29" s="335" t="s">
        <v>216</v>
      </c>
      <c r="D29" s="335" t="s">
        <v>217</v>
      </c>
      <c r="F29"/>
      <c r="H29"/>
      <c r="I29"/>
      <c r="J29"/>
      <c r="K29"/>
      <c r="L29"/>
      <c r="M29"/>
      <c r="N29"/>
      <c r="O29"/>
      <c r="P29"/>
      <c r="Q29"/>
      <c r="R29"/>
      <c r="S29"/>
      <c r="T29" s="5"/>
      <c r="V29" s="101" t="s">
        <v>218</v>
      </c>
      <c r="W29" s="81"/>
      <c r="X29" s="81"/>
      <c r="Y29" s="81"/>
      <c r="Z29" s="81"/>
      <c r="AA29" s="81"/>
      <c r="AB29" s="81"/>
      <c r="AC29" s="81"/>
    </row>
    <row r="30" spans="2:29" ht="15" customHeight="1">
      <c r="B30" s="335" t="s">
        <v>219</v>
      </c>
      <c r="F30"/>
      <c r="H30"/>
      <c r="I30"/>
      <c r="J30"/>
      <c r="K30"/>
      <c r="L30"/>
      <c r="M30"/>
      <c r="N30"/>
      <c r="O30"/>
      <c r="P30"/>
      <c r="Q30"/>
      <c r="R30"/>
      <c r="S30"/>
      <c r="T30" s="5"/>
      <c r="V30" s="81"/>
      <c r="W30" s="81"/>
      <c r="X30" s="81"/>
      <c r="Y30" s="81"/>
      <c r="Z30" s="81"/>
      <c r="AA30" s="81"/>
      <c r="AB30" s="81"/>
      <c r="AC30" s="81"/>
    </row>
    <row r="31" spans="2:29" ht="15" customHeight="1">
      <c r="B31" s="335" t="s">
        <v>133</v>
      </c>
      <c r="D31" s="368" t="s">
        <v>220</v>
      </c>
      <c r="F31"/>
      <c r="H31"/>
      <c r="I31"/>
      <c r="J31"/>
      <c r="K31"/>
      <c r="L31"/>
      <c r="M31"/>
      <c r="N31"/>
      <c r="O31"/>
      <c r="P31"/>
      <c r="Q31"/>
      <c r="R31"/>
      <c r="S31"/>
      <c r="T31" s="5"/>
      <c r="V31" s="369" t="s">
        <v>221</v>
      </c>
      <c r="W31" s="370" t="s">
        <v>222</v>
      </c>
      <c r="X31" s="370" t="s">
        <v>223</v>
      </c>
      <c r="Y31" s="81"/>
      <c r="Z31" s="374"/>
      <c r="AA31" s="836" t="s">
        <v>224</v>
      </c>
      <c r="AB31" s="837"/>
      <c r="AC31" s="81"/>
    </row>
    <row r="32" spans="2:29" ht="15" customHeight="1">
      <c r="D32" s="335" t="s">
        <v>214</v>
      </c>
      <c r="F32"/>
      <c r="H32"/>
      <c r="I32"/>
      <c r="J32"/>
      <c r="K32"/>
      <c r="L32"/>
      <c r="M32"/>
      <c r="N32"/>
      <c r="O32"/>
      <c r="P32"/>
      <c r="Q32"/>
      <c r="R32"/>
      <c r="S32"/>
      <c r="T32" s="5"/>
      <c r="V32" s="838" t="s">
        <v>225</v>
      </c>
      <c r="W32" s="839"/>
      <c r="X32" s="840"/>
      <c r="Y32" s="81"/>
      <c r="Z32" s="374" t="s">
        <v>226</v>
      </c>
      <c r="AA32" s="377">
        <v>58.4</v>
      </c>
      <c r="AB32" s="378" t="s">
        <v>227</v>
      </c>
      <c r="AC32" s="81"/>
    </row>
    <row r="33" spans="2:29" ht="15" customHeight="1">
      <c r="B33" s="368" t="s">
        <v>228</v>
      </c>
      <c r="D33" s="335" t="s">
        <v>217</v>
      </c>
      <c r="F33"/>
      <c r="H33"/>
      <c r="I33"/>
      <c r="J33"/>
      <c r="K33"/>
      <c r="L33"/>
      <c r="M33"/>
      <c r="N33"/>
      <c r="O33"/>
      <c r="P33"/>
      <c r="Q33"/>
      <c r="R33"/>
      <c r="S33"/>
      <c r="T33" s="5"/>
      <c r="V33" s="379" t="s">
        <v>229</v>
      </c>
      <c r="W33" s="380">
        <v>0.8</v>
      </c>
      <c r="X33" s="380" t="s">
        <v>230</v>
      </c>
      <c r="Y33" s="81"/>
      <c r="Z33" s="374" t="s">
        <v>231</v>
      </c>
      <c r="AA33" s="377">
        <v>54.3</v>
      </c>
      <c r="AB33" s="378" t="s">
        <v>227</v>
      </c>
      <c r="AC33" s="81"/>
    </row>
    <row r="34" spans="2:29" ht="15" customHeight="1">
      <c r="B34" s="335" t="s">
        <v>232</v>
      </c>
      <c r="D34"/>
      <c r="F34"/>
      <c r="H34"/>
      <c r="I34"/>
      <c r="J34"/>
      <c r="K34"/>
      <c r="L34"/>
      <c r="M34"/>
      <c r="N34"/>
      <c r="O34"/>
      <c r="P34"/>
      <c r="Q34"/>
      <c r="R34"/>
      <c r="S34"/>
      <c r="T34" s="5"/>
      <c r="V34" s="379" t="s">
        <v>233</v>
      </c>
      <c r="W34" s="380">
        <v>0.82</v>
      </c>
      <c r="X34" s="380" t="s">
        <v>230</v>
      </c>
      <c r="Y34" s="81"/>
      <c r="Z34" s="101" t="s">
        <v>234</v>
      </c>
      <c r="AA34" s="81"/>
      <c r="AB34" s="81"/>
      <c r="AC34" s="81"/>
    </row>
    <row r="35" spans="2:29" ht="15" customHeight="1">
      <c r="B35" s="335" t="s">
        <v>235</v>
      </c>
      <c r="D35" s="368" t="s">
        <v>236</v>
      </c>
      <c r="F35"/>
      <c r="H35"/>
      <c r="I35"/>
      <c r="J35"/>
      <c r="K35"/>
      <c r="L35"/>
      <c r="M35"/>
      <c r="N35"/>
      <c r="O35"/>
      <c r="P35"/>
      <c r="Q35"/>
      <c r="R35"/>
      <c r="S35"/>
      <c r="T35" s="5"/>
      <c r="V35" s="831" t="s">
        <v>237</v>
      </c>
      <c r="W35" s="832"/>
      <c r="X35" s="833"/>
      <c r="Y35" s="81"/>
      <c r="Z35" s="81"/>
      <c r="AA35" s="81"/>
      <c r="AB35" s="81"/>
      <c r="AC35" s="81"/>
    </row>
    <row r="36" spans="2:29" ht="15" customHeight="1">
      <c r="B36" s="335" t="s">
        <v>238</v>
      </c>
      <c r="D36" s="335" t="s">
        <v>239</v>
      </c>
      <c r="F36"/>
      <c r="H36"/>
      <c r="I36"/>
      <c r="J36"/>
      <c r="K36"/>
      <c r="L36"/>
      <c r="M36"/>
      <c r="N36"/>
      <c r="O36"/>
      <c r="P36"/>
      <c r="Q36"/>
      <c r="R36"/>
      <c r="S36"/>
      <c r="T36" s="5"/>
      <c r="V36" s="379" t="s">
        <v>233</v>
      </c>
      <c r="W36" s="380">
        <v>0.8</v>
      </c>
      <c r="X36" s="380" t="s">
        <v>240</v>
      </c>
      <c r="Y36" s="81"/>
      <c r="Z36" s="81"/>
      <c r="AA36" s="81"/>
      <c r="AB36" s="81"/>
      <c r="AC36" s="81"/>
    </row>
    <row r="37" spans="2:29" ht="15" customHeight="1">
      <c r="D37" s="335" t="s">
        <v>241</v>
      </c>
      <c r="F37"/>
      <c r="H37"/>
      <c r="I37"/>
      <c r="J37"/>
      <c r="K37"/>
      <c r="L37"/>
      <c r="M37"/>
      <c r="N37"/>
      <c r="O37"/>
      <c r="P37"/>
      <c r="Q37"/>
      <c r="R37"/>
      <c r="S37"/>
      <c r="T37" s="5"/>
      <c r="V37" s="379" t="s">
        <v>242</v>
      </c>
      <c r="W37" s="380">
        <v>0.79</v>
      </c>
      <c r="X37" s="380" t="s">
        <v>240</v>
      </c>
      <c r="Y37" s="81"/>
      <c r="Z37" s="81"/>
      <c r="AA37" s="81"/>
      <c r="AB37" s="81"/>
      <c r="AC37" s="81"/>
    </row>
    <row r="38" spans="2:29" ht="15" customHeight="1">
      <c r="B38" s="368" t="s">
        <v>243</v>
      </c>
      <c r="F38"/>
      <c r="H38"/>
      <c r="I38"/>
      <c r="J38"/>
      <c r="K38"/>
      <c r="L38"/>
      <c r="M38"/>
      <c r="N38"/>
      <c r="O38"/>
      <c r="P38"/>
      <c r="Q38"/>
      <c r="R38"/>
      <c r="S38"/>
      <c r="T38" s="5"/>
      <c r="V38" s="379" t="s">
        <v>244</v>
      </c>
      <c r="W38" s="380">
        <v>0.77</v>
      </c>
      <c r="X38" s="380" t="s">
        <v>240</v>
      </c>
      <c r="Y38" s="81"/>
      <c r="Z38" s="81"/>
      <c r="AA38" s="81"/>
      <c r="AB38" s="81"/>
      <c r="AC38" s="81"/>
    </row>
    <row r="39" spans="2:29" ht="15" customHeight="1">
      <c r="B39" s="335" t="s">
        <v>245</v>
      </c>
      <c r="D39" s="368" t="s">
        <v>246</v>
      </c>
      <c r="F39"/>
      <c r="H39"/>
      <c r="I39"/>
      <c r="J39"/>
      <c r="K39"/>
      <c r="L39"/>
      <c r="M39"/>
      <c r="N39"/>
      <c r="O39"/>
      <c r="P39"/>
      <c r="Q39"/>
      <c r="R39"/>
      <c r="S39"/>
      <c r="T39" s="5"/>
      <c r="V39" s="831" t="s">
        <v>247</v>
      </c>
      <c r="W39" s="832"/>
      <c r="X39" s="833"/>
      <c r="Y39" s="81"/>
      <c r="Z39" s="81"/>
      <c r="AA39" s="81"/>
      <c r="AB39" s="81"/>
      <c r="AC39" s="81"/>
    </row>
    <row r="40" spans="2:29" ht="15" customHeight="1">
      <c r="B40" s="335" t="s">
        <v>248</v>
      </c>
      <c r="D40" s="335" t="s">
        <v>249</v>
      </c>
      <c r="F40"/>
      <c r="H40"/>
      <c r="I40"/>
      <c r="J40"/>
      <c r="K40"/>
      <c r="L40"/>
      <c r="M40"/>
      <c r="N40"/>
      <c r="O40"/>
      <c r="P40"/>
      <c r="Q40"/>
      <c r="R40"/>
      <c r="S40"/>
      <c r="T40" s="5"/>
      <c r="V40" s="379" t="s">
        <v>233</v>
      </c>
      <c r="W40" s="380">
        <v>0.82</v>
      </c>
      <c r="X40" s="380" t="s">
        <v>250</v>
      </c>
      <c r="Y40" s="81"/>
      <c r="Z40" s="81"/>
      <c r="AA40" s="81"/>
      <c r="AB40" s="81"/>
      <c r="AC40" s="81"/>
    </row>
    <row r="41" spans="2:29" ht="15" customHeight="1">
      <c r="B41" s="335" t="s">
        <v>251</v>
      </c>
      <c r="D41" s="335" t="s">
        <v>133</v>
      </c>
      <c r="F41"/>
      <c r="H41"/>
      <c r="I41"/>
      <c r="J41"/>
      <c r="K41"/>
      <c r="L41"/>
      <c r="M41"/>
      <c r="N41"/>
      <c r="O41"/>
      <c r="P41"/>
      <c r="Q41"/>
      <c r="R41"/>
      <c r="S41"/>
      <c r="T41" s="5"/>
      <c r="V41" s="379" t="s">
        <v>242</v>
      </c>
      <c r="W41" s="380">
        <v>0.79</v>
      </c>
      <c r="X41" s="380" t="s">
        <v>240</v>
      </c>
      <c r="Y41" s="81"/>
      <c r="Z41" s="81"/>
      <c r="AA41" s="81"/>
      <c r="AB41" s="81"/>
      <c r="AC41" s="81"/>
    </row>
    <row r="42" spans="2:29" ht="15" customHeight="1">
      <c r="D42" s="335" t="s">
        <v>216</v>
      </c>
      <c r="F42"/>
      <c r="H42"/>
      <c r="I42"/>
      <c r="J42"/>
      <c r="K42"/>
      <c r="L42"/>
      <c r="M42"/>
      <c r="N42"/>
      <c r="O42"/>
      <c r="P42"/>
      <c r="Q42"/>
      <c r="R42"/>
      <c r="S42"/>
      <c r="T42" s="5"/>
      <c r="V42" s="379" t="s">
        <v>244</v>
      </c>
      <c r="W42" s="380">
        <v>0.77</v>
      </c>
      <c r="X42" s="380" t="s">
        <v>240</v>
      </c>
      <c r="Y42" s="81"/>
      <c r="Z42" s="81"/>
      <c r="AA42" s="81"/>
      <c r="AB42" s="81"/>
      <c r="AC42" s="81"/>
    </row>
    <row r="43" spans="2:29" ht="15" customHeight="1">
      <c r="B43" s="368" t="s">
        <v>252</v>
      </c>
      <c r="H43"/>
      <c r="I43"/>
      <c r="J43"/>
      <c r="K43"/>
      <c r="L43"/>
      <c r="M43"/>
      <c r="N43"/>
      <c r="O43"/>
      <c r="P43"/>
      <c r="Q43"/>
      <c r="R43"/>
      <c r="S43"/>
      <c r="T43" s="5"/>
      <c r="V43" s="102" t="s">
        <v>253</v>
      </c>
      <c r="W43" s="103"/>
      <c r="X43" s="103"/>
      <c r="Y43" s="81"/>
      <c r="Z43" s="81"/>
      <c r="AA43" s="81"/>
      <c r="AB43" s="81"/>
      <c r="AC43" s="81"/>
    </row>
    <row r="44" spans="2:29" ht="15" customHeight="1">
      <c r="B44" s="335" t="s">
        <v>214</v>
      </c>
      <c r="D44" s="368" t="s">
        <v>254</v>
      </c>
      <c r="H44"/>
      <c r="I44"/>
      <c r="J44"/>
      <c r="K44"/>
      <c r="L44"/>
      <c r="M44"/>
      <c r="N44"/>
      <c r="O44"/>
      <c r="P44"/>
      <c r="Q44"/>
      <c r="R44"/>
      <c r="S44"/>
      <c r="T44" s="5"/>
      <c r="V44" s="104"/>
      <c r="W44" s="105"/>
      <c r="X44" s="105"/>
      <c r="Y44" s="81"/>
      <c r="Z44" s="81"/>
      <c r="AA44" s="81"/>
      <c r="AB44" s="81"/>
      <c r="AC44" s="81"/>
    </row>
    <row r="45" spans="2:29" ht="15" customHeight="1">
      <c r="B45" s="335" t="s">
        <v>217</v>
      </c>
      <c r="D45" s="335" t="s">
        <v>232</v>
      </c>
      <c r="H45"/>
      <c r="I45"/>
      <c r="J45"/>
      <c r="K45"/>
      <c r="L45"/>
      <c r="M45"/>
      <c r="N45"/>
      <c r="O45"/>
      <c r="P45"/>
      <c r="Q45"/>
      <c r="R45"/>
      <c r="S45"/>
      <c r="T45" s="5"/>
      <c r="V45" s="369" t="s">
        <v>255</v>
      </c>
      <c r="W45" s="370" t="s">
        <v>256</v>
      </c>
      <c r="X45" s="370" t="s">
        <v>257</v>
      </c>
      <c r="Y45" s="370" t="s">
        <v>258</v>
      </c>
      <c r="Z45" s="370" t="s">
        <v>259</v>
      </c>
      <c r="AA45" s="96"/>
      <c r="AB45" s="96"/>
      <c r="AC45" s="81"/>
    </row>
    <row r="46" spans="2:29" ht="15" customHeight="1">
      <c r="D46" s="335" t="s">
        <v>260</v>
      </c>
      <c r="H46"/>
      <c r="I46"/>
      <c r="J46"/>
      <c r="K46"/>
      <c r="L46"/>
      <c r="M46"/>
      <c r="N46"/>
      <c r="O46"/>
      <c r="P46"/>
      <c r="Q46"/>
      <c r="R46"/>
      <c r="S46"/>
      <c r="T46" s="5"/>
      <c r="V46" s="375" t="s">
        <v>117</v>
      </c>
      <c r="W46" s="374">
        <v>840</v>
      </c>
      <c r="X46" s="374">
        <v>1697</v>
      </c>
      <c r="Y46" s="374">
        <v>11</v>
      </c>
      <c r="Z46" s="381">
        <v>0.60750000000000004</v>
      </c>
      <c r="AA46" s="97"/>
      <c r="AB46" s="97"/>
      <c r="AC46" s="81"/>
    </row>
    <row r="47" spans="2:29" ht="15" customHeight="1">
      <c r="B47" s="368" t="s">
        <v>261</v>
      </c>
      <c r="D47" s="335" t="s">
        <v>262</v>
      </c>
      <c r="H47"/>
      <c r="I47"/>
      <c r="J47"/>
      <c r="K47"/>
      <c r="L47"/>
      <c r="M47"/>
      <c r="N47"/>
      <c r="O47"/>
      <c r="P47"/>
      <c r="Q47"/>
      <c r="R47"/>
      <c r="S47"/>
      <c r="T47" s="5"/>
      <c r="V47" s="382" t="s">
        <v>263</v>
      </c>
      <c r="W47" s="383">
        <v>721</v>
      </c>
      <c r="X47" s="383">
        <v>1499</v>
      </c>
      <c r="Y47" s="383">
        <v>15</v>
      </c>
      <c r="Z47" s="384">
        <v>0.60119999999999996</v>
      </c>
      <c r="AA47" s="81"/>
      <c r="AB47" s="81"/>
      <c r="AC47" s="81"/>
    </row>
    <row r="48" spans="2:29" ht="15" customHeight="1">
      <c r="B48" s="335" t="s">
        <v>264</v>
      </c>
      <c r="H48"/>
      <c r="I48"/>
      <c r="J48"/>
      <c r="K48"/>
      <c r="L48"/>
      <c r="M48"/>
      <c r="N48"/>
      <c r="O48"/>
      <c r="P48"/>
      <c r="Q48"/>
      <c r="R48"/>
      <c r="S48"/>
      <c r="T48" s="5"/>
      <c r="V48" s="382" t="s">
        <v>265</v>
      </c>
      <c r="W48" s="383">
        <v>560</v>
      </c>
      <c r="X48" s="383">
        <v>1325</v>
      </c>
      <c r="Y48" s="383">
        <v>18</v>
      </c>
      <c r="Z48" s="384">
        <v>0.53690000000000004</v>
      </c>
      <c r="AA48" s="81"/>
      <c r="AB48" s="81"/>
      <c r="AC48" s="81"/>
    </row>
    <row r="49" spans="2:29" ht="15" customHeight="1">
      <c r="B49" s="335" t="s">
        <v>266</v>
      </c>
      <c r="H49"/>
      <c r="I49"/>
      <c r="J49"/>
      <c r="K49"/>
      <c r="L49"/>
      <c r="M49"/>
      <c r="N49"/>
      <c r="O49"/>
      <c r="P49"/>
      <c r="Q49"/>
      <c r="R49"/>
      <c r="S49"/>
      <c r="T49" s="5"/>
      <c r="V49" s="100" t="s">
        <v>267</v>
      </c>
      <c r="W49" s="81"/>
      <c r="X49" s="81"/>
      <c r="Y49" s="81"/>
      <c r="Z49" s="81"/>
      <c r="AA49" s="81"/>
      <c r="AB49" s="81"/>
      <c r="AC49" s="81"/>
    </row>
    <row r="50" spans="2:29" ht="15" customHeight="1">
      <c r="H50"/>
      <c r="I50"/>
      <c r="J50"/>
      <c r="K50"/>
      <c r="L50"/>
      <c r="M50"/>
      <c r="N50"/>
      <c r="O50"/>
      <c r="P50"/>
      <c r="Q50"/>
      <c r="R50"/>
      <c r="S50"/>
      <c r="T50" s="5"/>
      <c r="V50" s="104"/>
      <c r="W50" s="106"/>
      <c r="X50" s="81"/>
      <c r="Y50" s="81"/>
      <c r="Z50" s="81"/>
      <c r="AA50" s="81"/>
      <c r="AB50" s="81"/>
      <c r="AC50" s="81"/>
    </row>
    <row r="51" spans="2:29" ht="15" customHeight="1">
      <c r="B51" s="368" t="s">
        <v>268</v>
      </c>
      <c r="H51"/>
      <c r="I51"/>
      <c r="J51"/>
      <c r="K51"/>
      <c r="L51"/>
      <c r="M51"/>
      <c r="N51"/>
      <c r="O51"/>
      <c r="P51"/>
      <c r="Q51"/>
      <c r="R51"/>
      <c r="S51"/>
      <c r="T51" s="5"/>
      <c r="V51" s="369" t="s">
        <v>269</v>
      </c>
      <c r="W51" s="370" t="s">
        <v>270</v>
      </c>
      <c r="X51" s="81"/>
      <c r="Y51" s="81"/>
      <c r="Z51" s="81"/>
      <c r="AA51" s="81"/>
      <c r="AB51" s="81"/>
      <c r="AC51" s="81"/>
    </row>
    <row r="52" spans="2:29" ht="15" customHeight="1">
      <c r="B52" s="335" t="s">
        <v>271</v>
      </c>
      <c r="H52"/>
      <c r="I52"/>
      <c r="J52"/>
      <c r="K52"/>
      <c r="L52"/>
      <c r="M52"/>
      <c r="N52"/>
      <c r="O52"/>
      <c r="P52"/>
      <c r="Q52"/>
      <c r="R52"/>
      <c r="S52"/>
      <c r="T52" s="5"/>
      <c r="V52" s="375" t="s">
        <v>272</v>
      </c>
      <c r="W52" s="374">
        <v>4</v>
      </c>
      <c r="X52" s="81"/>
      <c r="Y52" s="81"/>
      <c r="Z52" s="81"/>
      <c r="AA52" s="81"/>
      <c r="AB52" s="81"/>
      <c r="AC52" s="81"/>
    </row>
    <row r="53" spans="2:29" ht="15" customHeight="1">
      <c r="B53" s="335" t="s">
        <v>273</v>
      </c>
      <c r="H53"/>
      <c r="I53"/>
      <c r="J53"/>
      <c r="K53"/>
      <c r="L53"/>
      <c r="M53"/>
      <c r="N53"/>
      <c r="O53"/>
      <c r="P53"/>
      <c r="Q53"/>
      <c r="R53"/>
      <c r="S53"/>
      <c r="T53" s="5"/>
      <c r="V53" s="375" t="s">
        <v>133</v>
      </c>
      <c r="W53" s="374">
        <v>2</v>
      </c>
      <c r="X53" s="81"/>
      <c r="Y53" s="81"/>
      <c r="Z53" s="81"/>
      <c r="AA53" s="81"/>
      <c r="AB53" s="81"/>
      <c r="AC53" s="81"/>
    </row>
    <row r="54" spans="2:29" ht="15" customHeight="1">
      <c r="B54"/>
      <c r="H54"/>
      <c r="I54"/>
      <c r="J54"/>
      <c r="K54"/>
      <c r="L54"/>
      <c r="M54"/>
      <c r="N54"/>
      <c r="O54"/>
      <c r="P54"/>
      <c r="Q54"/>
      <c r="R54"/>
      <c r="S54"/>
      <c r="T54" s="5"/>
      <c r="V54" s="375" t="s">
        <v>274</v>
      </c>
      <c r="W54" s="374">
        <v>1</v>
      </c>
      <c r="X54" s="81"/>
      <c r="Y54" s="81"/>
      <c r="Z54" s="81"/>
      <c r="AA54" s="81"/>
      <c r="AB54" s="81"/>
      <c r="AC54" s="81"/>
    </row>
    <row r="55" spans="2:29" ht="15" customHeight="1">
      <c r="B55" s="368" t="s">
        <v>98</v>
      </c>
      <c r="C55" s="385" t="s">
        <v>275</v>
      </c>
      <c r="H55"/>
      <c r="I55"/>
      <c r="J55"/>
      <c r="K55"/>
      <c r="L55"/>
      <c r="M55"/>
      <c r="N55"/>
      <c r="O55"/>
      <c r="P55"/>
      <c r="Q55"/>
      <c r="R55"/>
      <c r="S55"/>
      <c r="T55" s="5"/>
      <c r="V55" s="100" t="s">
        <v>276</v>
      </c>
      <c r="W55" s="81"/>
      <c r="X55" s="81"/>
      <c r="Y55" s="81"/>
      <c r="Z55" s="81"/>
      <c r="AA55" s="81"/>
      <c r="AB55" s="81"/>
      <c r="AC55" s="81"/>
    </row>
    <row r="56" spans="2:29" ht="15" customHeight="1">
      <c r="B56" s="386" t="s">
        <v>254</v>
      </c>
      <c r="C56" s="386">
        <v>23</v>
      </c>
      <c r="H56"/>
      <c r="I56"/>
      <c r="J56"/>
      <c r="K56"/>
      <c r="L56"/>
      <c r="M56"/>
      <c r="N56"/>
      <c r="O56"/>
      <c r="P56"/>
      <c r="Q56"/>
      <c r="R56"/>
      <c r="S56"/>
      <c r="T56" s="5"/>
      <c r="V56" s="81"/>
      <c r="W56" s="81"/>
      <c r="X56" s="81"/>
      <c r="Y56" s="81"/>
      <c r="Z56" s="81"/>
      <c r="AA56" s="81"/>
      <c r="AB56" s="81"/>
      <c r="AC56" s="81"/>
    </row>
    <row r="57" spans="2:29" ht="15" customHeight="1">
      <c r="B57" s="386" t="s">
        <v>277</v>
      </c>
      <c r="C57" s="386">
        <v>15</v>
      </c>
      <c r="H57"/>
      <c r="I57"/>
      <c r="J57"/>
      <c r="K57"/>
      <c r="L57"/>
      <c r="M57"/>
      <c r="N57"/>
      <c r="O57"/>
      <c r="P57"/>
      <c r="Q57"/>
      <c r="R57"/>
      <c r="S57"/>
      <c r="T57" s="5"/>
      <c r="V57" s="81" t="s">
        <v>278</v>
      </c>
      <c r="W57" s="81"/>
      <c r="X57" s="81"/>
      <c r="Y57" s="81"/>
      <c r="Z57" s="81"/>
      <c r="AA57" s="81"/>
      <c r="AB57" s="81"/>
      <c r="AC57" s="81"/>
    </row>
    <row r="58" spans="2:29" ht="15" customHeight="1">
      <c r="B58" s="386" t="s">
        <v>279</v>
      </c>
      <c r="C58" s="386">
        <v>15</v>
      </c>
      <c r="D58"/>
      <c r="H58"/>
      <c r="I58"/>
      <c r="J58"/>
      <c r="K58"/>
      <c r="L58"/>
      <c r="M58"/>
      <c r="N58"/>
      <c r="O58"/>
      <c r="P58"/>
      <c r="Q58"/>
      <c r="R58"/>
      <c r="S58"/>
      <c r="T58" s="5"/>
      <c r="V58" s="81" t="s">
        <v>280</v>
      </c>
      <c r="W58" s="81"/>
      <c r="X58" s="81"/>
      <c r="Y58" s="81"/>
      <c r="Z58" s="81"/>
      <c r="AA58" s="81"/>
      <c r="AB58" s="81"/>
      <c r="AC58" s="81"/>
    </row>
    <row r="59" spans="2:29" ht="15" customHeight="1">
      <c r="B59" s="386" t="s">
        <v>261</v>
      </c>
      <c r="C59" s="386">
        <v>15</v>
      </c>
      <c r="D59"/>
      <c r="H59"/>
      <c r="I59"/>
      <c r="J59"/>
      <c r="K59"/>
      <c r="L59"/>
      <c r="M59"/>
      <c r="N59"/>
      <c r="O59"/>
      <c r="P59"/>
      <c r="Q59"/>
      <c r="R59"/>
      <c r="S59"/>
      <c r="T59" s="5"/>
      <c r="V59" s="81"/>
      <c r="W59" s="81"/>
      <c r="X59" s="81"/>
      <c r="Y59" s="81"/>
      <c r="Z59" s="81"/>
      <c r="AA59" s="81"/>
      <c r="AB59" s="81"/>
      <c r="AC59" s="81"/>
    </row>
    <row r="60" spans="2:29" ht="15" customHeight="1">
      <c r="B60" s="386" t="s">
        <v>281</v>
      </c>
      <c r="C60" s="386">
        <v>18</v>
      </c>
      <c r="D60"/>
      <c r="H60"/>
      <c r="I60"/>
      <c r="J60"/>
      <c r="K60"/>
      <c r="L60"/>
      <c r="M60"/>
      <c r="N60"/>
      <c r="O60"/>
      <c r="P60"/>
      <c r="Q60"/>
      <c r="R60"/>
      <c r="S60"/>
      <c r="T60" s="5"/>
      <c r="V60" s="369" t="s">
        <v>282</v>
      </c>
      <c r="W60" s="370" t="s">
        <v>283</v>
      </c>
      <c r="X60" s="81"/>
      <c r="Y60" s="81"/>
      <c r="Z60" s="81"/>
      <c r="AA60" s="81"/>
      <c r="AB60" s="81"/>
      <c r="AC60" s="81"/>
    </row>
    <row r="61" spans="2:29" ht="15" customHeight="1">
      <c r="B61" s="386" t="s">
        <v>207</v>
      </c>
      <c r="C61" s="386">
        <v>15</v>
      </c>
      <c r="H61"/>
      <c r="I61"/>
      <c r="J61"/>
      <c r="K61"/>
      <c r="L61"/>
      <c r="M61"/>
      <c r="N61"/>
      <c r="O61"/>
      <c r="P61"/>
      <c r="Q61"/>
      <c r="R61"/>
      <c r="S61"/>
      <c r="T61" s="5"/>
      <c r="V61" s="375" t="s">
        <v>284</v>
      </c>
      <c r="W61" s="387">
        <v>0.05</v>
      </c>
      <c r="X61" s="81"/>
      <c r="Y61" s="81"/>
      <c r="Z61" s="81"/>
      <c r="AA61" s="81"/>
      <c r="AB61" s="81"/>
      <c r="AC61" s="81"/>
    </row>
    <row r="62" spans="2:29" ht="15" customHeight="1">
      <c r="B62" s="386" t="s">
        <v>219</v>
      </c>
      <c r="C62" s="386">
        <v>10</v>
      </c>
      <c r="H62"/>
      <c r="I62"/>
      <c r="J62"/>
      <c r="K62"/>
      <c r="L62"/>
      <c r="M62"/>
      <c r="N62"/>
      <c r="O62"/>
      <c r="P62"/>
      <c r="Q62"/>
      <c r="R62"/>
      <c r="S62"/>
      <c r="T62" s="5"/>
      <c r="V62" s="375" t="s">
        <v>285</v>
      </c>
      <c r="W62" s="387">
        <v>2.1999999999999999E-2</v>
      </c>
      <c r="X62" s="81"/>
      <c r="Y62" s="81"/>
      <c r="Z62" s="81"/>
      <c r="AA62" s="81"/>
      <c r="AB62" s="81"/>
      <c r="AC62" s="81"/>
    </row>
    <row r="63" spans="2:29" ht="15" customHeight="1">
      <c r="B63" s="386" t="s">
        <v>286</v>
      </c>
      <c r="C63" s="386">
        <v>7.5</v>
      </c>
      <c r="H63"/>
      <c r="I63"/>
      <c r="J63"/>
      <c r="K63"/>
      <c r="L63"/>
      <c r="M63"/>
      <c r="N63"/>
      <c r="O63"/>
      <c r="P63"/>
      <c r="Q63"/>
      <c r="R63"/>
      <c r="S63"/>
      <c r="T63" s="5"/>
      <c r="V63" s="375" t="s">
        <v>287</v>
      </c>
      <c r="W63" s="387">
        <v>7.0999999999999994E-2</v>
      </c>
      <c r="X63" s="81"/>
      <c r="Y63" s="81"/>
      <c r="Z63" s="81"/>
      <c r="AA63" s="81"/>
      <c r="AB63" s="81"/>
      <c r="AC63" s="81"/>
    </row>
    <row r="64" spans="2:29">
      <c r="B64" s="386" t="s">
        <v>288</v>
      </c>
      <c r="C64" s="386">
        <v>12</v>
      </c>
      <c r="H64" s="2"/>
      <c r="I64" s="4"/>
      <c r="J64" s="4"/>
      <c r="K64" s="4"/>
      <c r="L64" s="4"/>
      <c r="M64" s="4"/>
      <c r="N64" s="4"/>
      <c r="O64" s="4"/>
      <c r="P64" s="4"/>
      <c r="Q64" s="4"/>
      <c r="R64" s="3"/>
      <c r="S64" s="5"/>
      <c r="T64" s="5"/>
      <c r="V64" s="100" t="s">
        <v>289</v>
      </c>
      <c r="W64" s="81"/>
      <c r="X64" s="81"/>
      <c r="Y64" s="81"/>
      <c r="Z64" s="81"/>
      <c r="AA64" s="81"/>
      <c r="AB64" s="81"/>
      <c r="AC64" s="81"/>
    </row>
    <row r="65" spans="2:29">
      <c r="B65" s="386" t="s">
        <v>290</v>
      </c>
      <c r="C65" s="386">
        <v>20</v>
      </c>
      <c r="H65" s="2"/>
      <c r="I65" s="4"/>
      <c r="J65" s="4"/>
      <c r="K65" s="4"/>
      <c r="L65" s="4"/>
      <c r="M65" s="4"/>
      <c r="N65" s="4"/>
      <c r="O65" s="4"/>
      <c r="P65" s="4"/>
      <c r="Q65" s="4"/>
      <c r="R65" s="4"/>
      <c r="S65" s="5"/>
      <c r="T65" s="5"/>
      <c r="V65" s="81"/>
      <c r="W65" s="81"/>
      <c r="X65" s="81"/>
      <c r="Y65" s="81"/>
      <c r="Z65" s="81"/>
      <c r="AA65" s="81"/>
      <c r="AB65" s="81"/>
      <c r="AC65" s="81"/>
    </row>
    <row r="66" spans="2:29" ht="14.25" customHeight="1">
      <c r="B66" s="386" t="s">
        <v>291</v>
      </c>
      <c r="C66" s="386">
        <v>15</v>
      </c>
      <c r="H66" s="796" t="s">
        <v>98</v>
      </c>
      <c r="I66" s="796" t="s">
        <v>292</v>
      </c>
      <c r="J66" s="796" t="s">
        <v>221</v>
      </c>
      <c r="K66" s="796" t="s">
        <v>293</v>
      </c>
      <c r="L66" s="796" t="s">
        <v>294</v>
      </c>
      <c r="M66" s="796" t="s">
        <v>295</v>
      </c>
      <c r="N66" s="795" t="s">
        <v>104</v>
      </c>
      <c r="O66" s="795" t="s">
        <v>296</v>
      </c>
      <c r="P66" s="795" t="s">
        <v>297</v>
      </c>
      <c r="Q66" s="842" t="s">
        <v>106</v>
      </c>
      <c r="R66" s="795" t="s">
        <v>107</v>
      </c>
      <c r="S66" s="797" t="s">
        <v>298</v>
      </c>
      <c r="T66" s="841" t="s">
        <v>108</v>
      </c>
      <c r="V66" s="81" t="s">
        <v>299</v>
      </c>
      <c r="W66" s="81"/>
      <c r="X66" s="81"/>
      <c r="Y66" s="81"/>
      <c r="Z66" s="81"/>
      <c r="AA66" s="81"/>
      <c r="AB66" s="81"/>
      <c r="AC66" s="81"/>
    </row>
    <row r="67" spans="2:29">
      <c r="H67" s="796"/>
      <c r="I67" s="796"/>
      <c r="J67" s="796"/>
      <c r="K67" s="796"/>
      <c r="L67" s="796"/>
      <c r="M67" s="796"/>
      <c r="N67" s="795"/>
      <c r="O67" s="795"/>
      <c r="P67" s="795"/>
      <c r="Q67" s="842"/>
      <c r="R67" s="795"/>
      <c r="S67" s="797"/>
      <c r="T67" s="841"/>
      <c r="V67" s="81" t="s">
        <v>300</v>
      </c>
      <c r="W67" s="81"/>
      <c r="X67" s="81"/>
      <c r="Y67" s="81"/>
      <c r="Z67" s="81"/>
      <c r="AA67" s="81"/>
      <c r="AB67" s="81"/>
      <c r="AC67" s="81"/>
    </row>
    <row r="68" spans="2:29" ht="15" customHeight="1">
      <c r="B68" s="335" t="s">
        <v>292</v>
      </c>
      <c r="C68" s="335" t="s">
        <v>301</v>
      </c>
      <c r="D68" s="335" t="s">
        <v>302</v>
      </c>
      <c r="H68" s="825" t="s">
        <v>303</v>
      </c>
      <c r="I68" s="388" t="s">
        <v>245</v>
      </c>
      <c r="J68" s="388" t="s">
        <v>214</v>
      </c>
      <c r="K68" s="371" t="s">
        <v>204</v>
      </c>
      <c r="L68" s="371" t="s">
        <v>126</v>
      </c>
      <c r="M68" s="371" t="str">
        <f>_xlfn.CONCAT(I68," ",J68," ",K68," ",L68)</f>
        <v>Air Source Split &lt;5.4 tons Electric Resistance (or None)</v>
      </c>
      <c r="N68" s="372">
        <f>(-0.02*(O68)^2)+(1.12*O68)</f>
        <v>11.760000000000002</v>
      </c>
      <c r="O68" s="389">
        <v>14</v>
      </c>
      <c r="P68" s="389">
        <v>8.1999999999999993</v>
      </c>
      <c r="Q68" s="372">
        <v>12.5</v>
      </c>
      <c r="R68" s="372">
        <v>15</v>
      </c>
      <c r="S68" s="372">
        <v>8.5</v>
      </c>
      <c r="T68" s="390" t="s">
        <v>127</v>
      </c>
      <c r="V68" s="81"/>
      <c r="W68" s="81"/>
      <c r="X68" s="81"/>
      <c r="Y68" s="81"/>
      <c r="Z68" s="81"/>
      <c r="AA68" s="81"/>
      <c r="AB68" s="81"/>
      <c r="AC68" s="81"/>
    </row>
    <row r="69" spans="2:29" ht="15" customHeight="1">
      <c r="B69" s="386" t="s">
        <v>304</v>
      </c>
      <c r="C69" s="391">
        <v>0.36</v>
      </c>
      <c r="D69" s="391">
        <v>0.58799999999999997</v>
      </c>
      <c r="H69" s="826"/>
      <c r="I69" s="388" t="s">
        <v>245</v>
      </c>
      <c r="J69" s="388" t="s">
        <v>214</v>
      </c>
      <c r="K69" s="371" t="s">
        <v>204</v>
      </c>
      <c r="L69" s="371" t="s">
        <v>133</v>
      </c>
      <c r="M69" s="371" t="str">
        <f t="shared" ref="M69:M83" si="1">_xlfn.CONCAT(I69," ",J69," ",K69," ",L69)</f>
        <v>Air Source Split &lt;5.4 tons Other</v>
      </c>
      <c r="N69" s="372">
        <f t="shared" ref="N69:N71" si="2">(-0.02*(O69)^2)+(1.12*O69)</f>
        <v>11.647200000000002</v>
      </c>
      <c r="O69" s="389">
        <v>13.8</v>
      </c>
      <c r="P69" s="389">
        <v>8.1999999999999993</v>
      </c>
      <c r="Q69" s="372">
        <v>12.5</v>
      </c>
      <c r="R69" s="372">
        <v>15</v>
      </c>
      <c r="S69" s="372">
        <v>8.5</v>
      </c>
      <c r="T69" s="390" t="s">
        <v>127</v>
      </c>
      <c r="V69" s="369" t="s">
        <v>305</v>
      </c>
      <c r="W69" s="370" t="s">
        <v>306</v>
      </c>
      <c r="X69" s="370" t="s">
        <v>307</v>
      </c>
      <c r="Y69" s="370" t="s">
        <v>308</v>
      </c>
      <c r="Z69" s="370" t="s">
        <v>309</v>
      </c>
      <c r="AA69" s="96"/>
      <c r="AB69" s="96"/>
      <c r="AC69" s="81"/>
    </row>
    <row r="70" spans="2:29" ht="15" customHeight="1">
      <c r="B70" s="386" t="s">
        <v>310</v>
      </c>
      <c r="C70" s="391">
        <v>0.56699999999999995</v>
      </c>
      <c r="D70" s="391">
        <v>0.874</v>
      </c>
      <c r="H70" s="826"/>
      <c r="I70" s="388" t="s">
        <v>245</v>
      </c>
      <c r="J70" s="388" t="s">
        <v>217</v>
      </c>
      <c r="K70" s="371" t="s">
        <v>204</v>
      </c>
      <c r="L70" s="371" t="s">
        <v>126</v>
      </c>
      <c r="M70" s="371" t="str">
        <f t="shared" si="1"/>
        <v>Air Source Packaged &lt;5.4 tons Electric Resistance (or None)</v>
      </c>
      <c r="N70" s="372">
        <f t="shared" si="2"/>
        <v>11.760000000000002</v>
      </c>
      <c r="O70" s="389">
        <f t="shared" ref="O70" si="3">$O$68</f>
        <v>14</v>
      </c>
      <c r="P70" s="389">
        <v>8</v>
      </c>
      <c r="Q70" s="372">
        <v>12</v>
      </c>
      <c r="R70" s="372">
        <v>15</v>
      </c>
      <c r="S70" s="372">
        <v>8.1999999999999993</v>
      </c>
      <c r="T70" s="390" t="s">
        <v>127</v>
      </c>
      <c r="V70" s="375" t="s">
        <v>311</v>
      </c>
      <c r="W70" s="374">
        <v>16</v>
      </c>
      <c r="X70" s="374">
        <v>0.1875</v>
      </c>
      <c r="Y70" s="392">
        <v>8631</v>
      </c>
      <c r="Z70" s="393">
        <f>W80</f>
        <v>944</v>
      </c>
      <c r="AA70" s="107"/>
      <c r="AB70" s="107"/>
      <c r="AC70" s="81"/>
    </row>
    <row r="71" spans="2:29" ht="15" customHeight="1">
      <c r="B71" s="386" t="s">
        <v>279</v>
      </c>
      <c r="C71" s="391">
        <v>0.36</v>
      </c>
      <c r="D71" s="391">
        <v>0.58799999999999997</v>
      </c>
      <c r="H71" s="826"/>
      <c r="I71" s="388" t="s">
        <v>245</v>
      </c>
      <c r="J71" s="388" t="s">
        <v>217</v>
      </c>
      <c r="K71" s="371" t="s">
        <v>204</v>
      </c>
      <c r="L71" s="371" t="s">
        <v>133</v>
      </c>
      <c r="M71" s="371" t="str">
        <f t="shared" si="1"/>
        <v>Air Source Packaged &lt;5.4 tons Other</v>
      </c>
      <c r="N71" s="372">
        <f t="shared" si="2"/>
        <v>11.647200000000002</v>
      </c>
      <c r="O71" s="389">
        <v>13.8</v>
      </c>
      <c r="P71" s="389">
        <v>8</v>
      </c>
      <c r="Q71" s="372">
        <v>12</v>
      </c>
      <c r="R71" s="372">
        <v>15</v>
      </c>
      <c r="S71" s="372">
        <v>8.1999999999999993</v>
      </c>
      <c r="T71" s="390" t="s">
        <v>127</v>
      </c>
      <c r="V71" s="375" t="s">
        <v>312</v>
      </c>
      <c r="W71" s="374">
        <v>47</v>
      </c>
      <c r="X71" s="394">
        <v>0.25</v>
      </c>
      <c r="Y71" s="392">
        <v>8284</v>
      </c>
      <c r="Z71" s="393">
        <f>W83+(W71-V83)*(W84-W83)/(V84-V83)</f>
        <v>914.4</v>
      </c>
      <c r="AA71" s="107"/>
      <c r="AB71" s="107"/>
      <c r="AC71" s="81"/>
    </row>
    <row r="72" spans="2:29" ht="14.4">
      <c r="B72" s="335" t="s">
        <v>261</v>
      </c>
      <c r="C72" s="391">
        <v>0.36</v>
      </c>
      <c r="D72" s="391">
        <v>0.58799999999999997</v>
      </c>
      <c r="H72" s="826"/>
      <c r="I72" s="388" t="s">
        <v>245</v>
      </c>
      <c r="J72" s="388" t="s">
        <v>214</v>
      </c>
      <c r="K72" s="371" t="s">
        <v>147</v>
      </c>
      <c r="L72" s="371" t="s">
        <v>126</v>
      </c>
      <c r="M72" s="371" t="str">
        <f t="shared" si="1"/>
        <v>Air Source Split ≥5.4 to &lt;11.25 tons Electric Resistance (or None)</v>
      </c>
      <c r="N72" s="372">
        <v>11</v>
      </c>
      <c r="O72" s="389">
        <v>12</v>
      </c>
      <c r="P72" s="389">
        <v>3.3</v>
      </c>
      <c r="Q72" s="372">
        <v>11.8</v>
      </c>
      <c r="R72" s="372">
        <v>13.6</v>
      </c>
      <c r="S72" s="372">
        <v>3.4</v>
      </c>
      <c r="T72" s="390" t="s">
        <v>127</v>
      </c>
      <c r="V72" s="375" t="s">
        <v>313</v>
      </c>
      <c r="W72" s="374">
        <v>101</v>
      </c>
      <c r="X72" s="394">
        <v>0.25</v>
      </c>
      <c r="Y72" s="392">
        <v>8100</v>
      </c>
      <c r="Z72" s="393">
        <f>W87+(W72-V87)*(W88-W87)/(V88-V87)</f>
        <v>879.52</v>
      </c>
      <c r="AA72" s="107"/>
      <c r="AB72" s="107"/>
      <c r="AC72" s="81"/>
    </row>
    <row r="73" spans="2:29" ht="14.4">
      <c r="B73" s="335" t="s">
        <v>314</v>
      </c>
      <c r="C73" s="391">
        <v>0.36</v>
      </c>
      <c r="D73" s="391">
        <v>0.58799999999999997</v>
      </c>
      <c r="H73" s="826"/>
      <c r="I73" s="388" t="s">
        <v>245</v>
      </c>
      <c r="J73" s="388" t="s">
        <v>214</v>
      </c>
      <c r="K73" s="371" t="s">
        <v>147</v>
      </c>
      <c r="L73" s="371" t="s">
        <v>133</v>
      </c>
      <c r="M73" s="371" t="str">
        <f t="shared" si="1"/>
        <v>Air Source Split ≥5.4 to &lt;11.25 tons Other</v>
      </c>
      <c r="N73" s="372">
        <v>10.8</v>
      </c>
      <c r="O73" s="389">
        <v>11.8</v>
      </c>
      <c r="P73" s="389">
        <v>3.3</v>
      </c>
      <c r="Q73" s="372">
        <v>11.6</v>
      </c>
      <c r="R73" s="372">
        <v>13.4</v>
      </c>
      <c r="S73" s="372">
        <v>3.4</v>
      </c>
      <c r="T73" s="390" t="s">
        <v>127</v>
      </c>
      <c r="V73" s="375" t="s">
        <v>315</v>
      </c>
      <c r="W73" s="374">
        <v>146</v>
      </c>
      <c r="X73" s="394">
        <v>0.25</v>
      </c>
      <c r="Y73" s="392">
        <v>8346</v>
      </c>
      <c r="Z73" s="393">
        <f>W88+(W73-V88)*(W89-W88)/(V89-V88)</f>
        <v>858.76</v>
      </c>
      <c r="AA73" s="107"/>
      <c r="AB73" s="107"/>
      <c r="AC73" s="81"/>
    </row>
    <row r="74" spans="2:29" ht="15" customHeight="1">
      <c r="B74" s="335" t="s">
        <v>316</v>
      </c>
      <c r="C74" s="391">
        <v>0.3</v>
      </c>
      <c r="D74" s="391">
        <v>0.31</v>
      </c>
      <c r="H74" s="826"/>
      <c r="I74" s="388" t="s">
        <v>245</v>
      </c>
      <c r="J74" s="388" t="s">
        <v>217</v>
      </c>
      <c r="K74" s="371" t="s">
        <v>147</v>
      </c>
      <c r="L74" s="371" t="s">
        <v>126</v>
      </c>
      <c r="M74" s="371" t="str">
        <f t="shared" si="1"/>
        <v>Air Source Packaged ≥5.4 to &lt;11.25 tons Electric Resistance (or None)</v>
      </c>
      <c r="N74" s="372">
        <v>11</v>
      </c>
      <c r="O74" s="389">
        <v>12</v>
      </c>
      <c r="P74" s="389">
        <v>3.3</v>
      </c>
      <c r="Q74" s="372">
        <v>11.8</v>
      </c>
      <c r="R74" s="372">
        <v>13.6</v>
      </c>
      <c r="S74" s="372">
        <v>3.4</v>
      </c>
      <c r="T74" s="390" t="s">
        <v>127</v>
      </c>
      <c r="V74" s="375" t="s">
        <v>317</v>
      </c>
      <c r="W74" s="374">
        <v>202</v>
      </c>
      <c r="X74" s="394">
        <v>0.25</v>
      </c>
      <c r="Y74" s="392">
        <v>7788</v>
      </c>
      <c r="Z74" s="393">
        <f>W91+(W74-V91)*(W92-W91)/(V92-V91)</f>
        <v>836.28</v>
      </c>
      <c r="AA74" s="107"/>
      <c r="AB74" s="107"/>
      <c r="AC74" s="81"/>
    </row>
    <row r="75" spans="2:29" ht="15" customHeight="1">
      <c r="B75" s="335" t="s">
        <v>318</v>
      </c>
      <c r="C75" s="391">
        <v>0.66</v>
      </c>
      <c r="D75" s="391">
        <v>0.69</v>
      </c>
      <c r="H75" s="826"/>
      <c r="I75" s="388" t="s">
        <v>245</v>
      </c>
      <c r="J75" s="388" t="s">
        <v>217</v>
      </c>
      <c r="K75" s="371" t="s">
        <v>147</v>
      </c>
      <c r="L75" s="371" t="s">
        <v>133</v>
      </c>
      <c r="M75" s="371" t="str">
        <f t="shared" si="1"/>
        <v>Air Source Packaged ≥5.4 to &lt;11.25 tons Other</v>
      </c>
      <c r="N75" s="372">
        <v>10.8</v>
      </c>
      <c r="O75" s="389">
        <v>11.8</v>
      </c>
      <c r="P75" s="389">
        <v>3.3</v>
      </c>
      <c r="Q75" s="372">
        <v>11.6</v>
      </c>
      <c r="R75" s="372">
        <v>13.4</v>
      </c>
      <c r="S75" s="372">
        <v>3.4</v>
      </c>
      <c r="T75" s="390" t="s">
        <v>127</v>
      </c>
      <c r="V75" s="375" t="s">
        <v>319</v>
      </c>
      <c r="W75" s="374">
        <v>263</v>
      </c>
      <c r="X75" s="394">
        <v>0.25</v>
      </c>
      <c r="Y75" s="392">
        <v>8746</v>
      </c>
      <c r="Z75" s="393">
        <f>W92+(W75-V92)*(W93-W92)/(V93-V92)</f>
        <v>815.84</v>
      </c>
      <c r="AA75" s="107"/>
      <c r="AB75" s="107"/>
      <c r="AC75" s="81"/>
    </row>
    <row r="76" spans="2:29" ht="15" customHeight="1">
      <c r="B76" s="335" t="s">
        <v>254</v>
      </c>
      <c r="C76" s="391">
        <v>0.80800000000000005</v>
      </c>
      <c r="D76" s="391">
        <v>0.92300000000000004</v>
      </c>
      <c r="H76" s="826"/>
      <c r="I76" s="388" t="s">
        <v>245</v>
      </c>
      <c r="J76" s="388" t="s">
        <v>214</v>
      </c>
      <c r="K76" s="371" t="s">
        <v>160</v>
      </c>
      <c r="L76" s="371" t="s">
        <v>126</v>
      </c>
      <c r="M76" s="371" t="str">
        <f t="shared" si="1"/>
        <v>Air Source Split ≥11.25 to &lt;20 tons Electric Resistance (or None)</v>
      </c>
      <c r="N76" s="372">
        <v>10.6</v>
      </c>
      <c r="O76" s="389">
        <v>11.6</v>
      </c>
      <c r="P76" s="389">
        <v>3.2</v>
      </c>
      <c r="Q76" s="372">
        <v>10.9</v>
      </c>
      <c r="R76" s="372">
        <v>12.8</v>
      </c>
      <c r="S76" s="372">
        <v>3.3</v>
      </c>
      <c r="T76" s="390" t="s">
        <v>127</v>
      </c>
      <c r="V76" s="375" t="s">
        <v>320</v>
      </c>
      <c r="W76" s="374" t="s">
        <v>321</v>
      </c>
      <c r="X76" s="374" t="s">
        <v>321</v>
      </c>
      <c r="Y76" s="392">
        <v>8746</v>
      </c>
      <c r="Z76" s="374"/>
      <c r="AA76" s="81"/>
      <c r="AB76" s="81"/>
      <c r="AC76" s="81"/>
    </row>
    <row r="77" spans="2:29" ht="15" customHeight="1">
      <c r="B77" s="14" t="s">
        <v>322</v>
      </c>
      <c r="H77" s="826"/>
      <c r="I77" s="388" t="s">
        <v>245</v>
      </c>
      <c r="J77" s="388" t="s">
        <v>214</v>
      </c>
      <c r="K77" s="371" t="s">
        <v>160</v>
      </c>
      <c r="L77" s="371" t="s">
        <v>133</v>
      </c>
      <c r="M77" s="371" t="str">
        <f t="shared" si="1"/>
        <v>Air Source Split ≥11.25 to &lt;20 tons Other</v>
      </c>
      <c r="N77" s="372">
        <v>10.4</v>
      </c>
      <c r="O77" s="389">
        <v>11.4</v>
      </c>
      <c r="P77" s="389">
        <v>3.2</v>
      </c>
      <c r="Q77" s="372">
        <v>10.7</v>
      </c>
      <c r="R77" s="372">
        <v>12.6</v>
      </c>
      <c r="S77" s="372">
        <v>3.3</v>
      </c>
      <c r="T77" s="390" t="s">
        <v>127</v>
      </c>
      <c r="V77" s="100" t="s">
        <v>323</v>
      </c>
      <c r="W77" s="81"/>
      <c r="X77" s="81"/>
      <c r="Y77" s="81"/>
      <c r="Z77" s="81"/>
      <c r="AA77" s="81"/>
      <c r="AB77" s="81"/>
      <c r="AC77" s="81"/>
    </row>
    <row r="78" spans="2:29" ht="15" customHeight="1">
      <c r="H78" s="826"/>
      <c r="I78" s="388" t="s">
        <v>245</v>
      </c>
      <c r="J78" s="388" t="s">
        <v>217</v>
      </c>
      <c r="K78" s="371" t="s">
        <v>160</v>
      </c>
      <c r="L78" s="371" t="s">
        <v>126</v>
      </c>
      <c r="M78" s="371" t="str">
        <f t="shared" si="1"/>
        <v>Air Source Packaged ≥11.25 to &lt;20 tons Electric Resistance (or None)</v>
      </c>
      <c r="N78" s="372">
        <v>10.6</v>
      </c>
      <c r="O78" s="389">
        <v>11.6</v>
      </c>
      <c r="P78" s="389">
        <v>3.2</v>
      </c>
      <c r="Q78" s="372">
        <v>10.9</v>
      </c>
      <c r="R78" s="372">
        <v>12.8</v>
      </c>
      <c r="S78" s="372">
        <v>3.3</v>
      </c>
      <c r="T78" s="390" t="s">
        <v>127</v>
      </c>
      <c r="V78" s="81"/>
      <c r="W78" s="81"/>
      <c r="X78" s="81"/>
      <c r="Y78" s="81"/>
      <c r="Z78" s="81"/>
      <c r="AA78" s="81"/>
      <c r="AB78" s="81"/>
      <c r="AC78" s="81"/>
    </row>
    <row r="79" spans="2:29">
      <c r="H79" s="826"/>
      <c r="I79" s="388" t="s">
        <v>245</v>
      </c>
      <c r="J79" s="388" t="s">
        <v>217</v>
      </c>
      <c r="K79" s="371" t="s">
        <v>160</v>
      </c>
      <c r="L79" s="371" t="s">
        <v>133</v>
      </c>
      <c r="M79" s="371" t="str">
        <f t="shared" si="1"/>
        <v>Air Source Packaged ≥11.25 to &lt;20 tons Other</v>
      </c>
      <c r="N79" s="372">
        <v>10.4</v>
      </c>
      <c r="O79" s="389">
        <v>11.4</v>
      </c>
      <c r="P79" s="389">
        <v>3.2</v>
      </c>
      <c r="Q79" s="372">
        <v>10.7</v>
      </c>
      <c r="R79" s="372">
        <v>12.6</v>
      </c>
      <c r="S79" s="372">
        <v>3.3</v>
      </c>
      <c r="T79" s="390" t="s">
        <v>127</v>
      </c>
      <c r="V79" s="369" t="s">
        <v>324</v>
      </c>
      <c r="W79" s="370" t="s">
        <v>325</v>
      </c>
      <c r="X79" s="81"/>
      <c r="Y79" s="81"/>
      <c r="Z79" s="81"/>
      <c r="AA79" s="81"/>
      <c r="AB79" s="81"/>
      <c r="AC79" s="81"/>
    </row>
    <row r="80" spans="2:29">
      <c r="H80" s="826"/>
      <c r="I80" s="388" t="s">
        <v>245</v>
      </c>
      <c r="J80" s="388" t="s">
        <v>214</v>
      </c>
      <c r="K80" s="371" t="s">
        <v>184</v>
      </c>
      <c r="L80" s="371" t="s">
        <v>126</v>
      </c>
      <c r="M80" s="371" t="str">
        <f t="shared" si="1"/>
        <v>Air Source Split ≥20 to &lt;63.3 tons Electric Resistance (or None)</v>
      </c>
      <c r="N80" s="372">
        <v>9.5</v>
      </c>
      <c r="O80" s="389">
        <v>10.6</v>
      </c>
      <c r="P80" s="389">
        <v>3.2</v>
      </c>
      <c r="Q80" s="372">
        <v>10.3</v>
      </c>
      <c r="R80" s="372">
        <v>11.8</v>
      </c>
      <c r="S80" s="372">
        <v>3.3</v>
      </c>
      <c r="T80" s="390" t="s">
        <v>127</v>
      </c>
      <c r="V80" s="375">
        <v>16</v>
      </c>
      <c r="W80" s="374">
        <v>944</v>
      </c>
      <c r="X80" s="81"/>
      <c r="Y80" s="81"/>
      <c r="Z80" s="81"/>
      <c r="AA80" s="81"/>
      <c r="AB80" s="81"/>
      <c r="AC80" s="81"/>
    </row>
    <row r="81" spans="2:29" ht="14.4">
      <c r="B81" s="395" t="s">
        <v>326</v>
      </c>
      <c r="C81"/>
      <c r="H81" s="826"/>
      <c r="I81" s="388" t="s">
        <v>245</v>
      </c>
      <c r="J81" s="388" t="s">
        <v>214</v>
      </c>
      <c r="K81" s="371" t="s">
        <v>184</v>
      </c>
      <c r="L81" s="371" t="s">
        <v>133</v>
      </c>
      <c r="M81" s="371" t="str">
        <f t="shared" si="1"/>
        <v>Air Source Split ≥20 to &lt;63.3 tons Other</v>
      </c>
      <c r="N81" s="372">
        <v>9.3000000000000007</v>
      </c>
      <c r="O81" s="389">
        <v>10.4</v>
      </c>
      <c r="P81" s="389">
        <v>3.2</v>
      </c>
      <c r="Q81" s="372">
        <v>10.1</v>
      </c>
      <c r="R81" s="372">
        <v>11.6</v>
      </c>
      <c r="S81" s="372">
        <v>3.3</v>
      </c>
      <c r="T81" s="390" t="s">
        <v>127</v>
      </c>
      <c r="V81" s="375">
        <v>20</v>
      </c>
      <c r="W81" s="374">
        <v>939</v>
      </c>
      <c r="X81" s="81"/>
      <c r="Y81" s="81"/>
      <c r="Z81" s="81"/>
      <c r="AA81" s="81"/>
      <c r="AB81" s="81"/>
      <c r="AC81" s="81"/>
    </row>
    <row r="82" spans="2:29" ht="14.4">
      <c r="B82" s="396">
        <v>6.1603915030086992E-4</v>
      </c>
      <c r="C82" s="397" t="s">
        <v>327</v>
      </c>
      <c r="H82" s="826"/>
      <c r="I82" s="388" t="s">
        <v>245</v>
      </c>
      <c r="J82" s="388" t="s">
        <v>217</v>
      </c>
      <c r="K82" s="371" t="s">
        <v>184</v>
      </c>
      <c r="L82" s="371" t="s">
        <v>126</v>
      </c>
      <c r="M82" s="371" t="str">
        <f t="shared" si="1"/>
        <v>Air Source Packaged ≥20 to &lt;63.3 tons Electric Resistance (or None)</v>
      </c>
      <c r="N82" s="372">
        <v>9.5</v>
      </c>
      <c r="O82" s="389">
        <v>10.6</v>
      </c>
      <c r="P82" s="389">
        <v>3.2</v>
      </c>
      <c r="Q82" s="372">
        <v>10.3</v>
      </c>
      <c r="R82" s="372">
        <v>11.8</v>
      </c>
      <c r="S82" s="372">
        <v>3.3</v>
      </c>
      <c r="T82" s="390" t="s">
        <v>127</v>
      </c>
      <c r="V82" s="375">
        <v>30</v>
      </c>
      <c r="W82" s="374">
        <v>929</v>
      </c>
      <c r="X82" s="81"/>
      <c r="Y82" s="81"/>
      <c r="Z82" s="81"/>
      <c r="AA82" s="81"/>
      <c r="AB82" s="81"/>
      <c r="AC82" s="81"/>
    </row>
    <row r="83" spans="2:29" ht="14.4">
      <c r="B83" s="295">
        <v>5.3E-3</v>
      </c>
      <c r="C83" s="293" t="s">
        <v>328</v>
      </c>
      <c r="E83"/>
      <c r="F83"/>
      <c r="H83" s="826"/>
      <c r="I83" s="388" t="s">
        <v>245</v>
      </c>
      <c r="J83" s="388" t="s">
        <v>217</v>
      </c>
      <c r="K83" s="371" t="s">
        <v>184</v>
      </c>
      <c r="L83" s="371" t="s">
        <v>133</v>
      </c>
      <c r="M83" s="371" t="str">
        <f t="shared" si="1"/>
        <v>Air Source Packaged ≥20 to &lt;63.3 tons Other</v>
      </c>
      <c r="N83" s="372">
        <v>9.3000000000000007</v>
      </c>
      <c r="O83" s="389">
        <v>10.4</v>
      </c>
      <c r="P83" s="389">
        <v>3.2</v>
      </c>
      <c r="Q83" s="372">
        <v>10.1</v>
      </c>
      <c r="R83" s="372">
        <v>11.6</v>
      </c>
      <c r="S83" s="372">
        <v>3.3</v>
      </c>
      <c r="T83" s="390" t="s">
        <v>127</v>
      </c>
      <c r="V83" s="375">
        <v>40</v>
      </c>
      <c r="W83" s="374">
        <v>920</v>
      </c>
      <c r="X83" s="81"/>
      <c r="Y83" s="81"/>
      <c r="Z83" s="81"/>
      <c r="AA83" s="81"/>
      <c r="AB83" s="81"/>
      <c r="AC83" s="81"/>
    </row>
    <row r="84" spans="2:29" ht="14.4">
      <c r="B84" s="205">
        <f>B83*10</f>
        <v>5.2999999999999999E-2</v>
      </c>
      <c r="C84" s="294" t="s">
        <v>329</v>
      </c>
      <c r="E84"/>
      <c r="F84"/>
      <c r="H84" s="826"/>
      <c r="I84" s="398"/>
      <c r="J84" s="399"/>
      <c r="K84" s="399"/>
      <c r="L84" s="399"/>
      <c r="M84" s="399"/>
      <c r="N84" s="399"/>
      <c r="O84" s="399"/>
      <c r="P84" s="399"/>
      <c r="Q84" s="399"/>
      <c r="R84" s="399"/>
      <c r="S84" s="399"/>
      <c r="T84" s="399"/>
      <c r="V84" s="375">
        <v>50</v>
      </c>
      <c r="W84" s="374">
        <v>912</v>
      </c>
      <c r="X84" s="81"/>
      <c r="Y84" s="81"/>
      <c r="Z84" s="81"/>
      <c r="AA84" s="81"/>
      <c r="AB84" s="81"/>
      <c r="AC84" s="81"/>
    </row>
    <row r="85" spans="2:29" ht="14.4">
      <c r="E85"/>
      <c r="F85"/>
      <c r="H85" s="827"/>
      <c r="I85" s="388" t="s">
        <v>330</v>
      </c>
      <c r="J85" s="388" t="s">
        <v>331</v>
      </c>
      <c r="K85" s="400" t="s">
        <v>204</v>
      </c>
      <c r="L85" s="388" t="s">
        <v>332</v>
      </c>
      <c r="M85" s="400" t="str">
        <f t="shared" ref="M85" si="4">_xlfn.CONCAT(I85," ",J85," ",K85)</f>
        <v>Mini-Split Heat Pump &lt;5.4 tons</v>
      </c>
      <c r="N85" s="401">
        <f>N68</f>
        <v>11.760000000000002</v>
      </c>
      <c r="O85" s="389">
        <f>O68</f>
        <v>14</v>
      </c>
      <c r="P85" s="402">
        <f>P68</f>
        <v>8.1999999999999993</v>
      </c>
      <c r="Q85" s="401">
        <v>12</v>
      </c>
      <c r="R85" s="401">
        <v>15</v>
      </c>
      <c r="S85" s="401">
        <v>8.5</v>
      </c>
      <c r="T85" s="403" t="s">
        <v>333</v>
      </c>
      <c r="V85" s="375">
        <v>60</v>
      </c>
      <c r="W85" s="374">
        <v>906</v>
      </c>
      <c r="X85" s="81"/>
      <c r="Y85" s="81"/>
      <c r="Z85" s="81"/>
      <c r="AA85" s="81"/>
      <c r="AB85" s="81"/>
      <c r="AC85" s="81"/>
    </row>
    <row r="86" spans="2:29" ht="15" customHeight="1">
      <c r="E86"/>
      <c r="F86"/>
      <c r="H86" s="12"/>
      <c r="I86" s="12"/>
      <c r="J86" s="12"/>
      <c r="K86" s="12"/>
      <c r="L86" s="12"/>
      <c r="M86" s="12"/>
      <c r="N86" s="12"/>
      <c r="O86" s="12"/>
      <c r="P86" s="12"/>
      <c r="Q86" s="12"/>
      <c r="R86" s="12"/>
      <c r="S86" s="12"/>
      <c r="V86" s="375">
        <v>75</v>
      </c>
      <c r="W86" s="374">
        <v>895</v>
      </c>
      <c r="X86" s="81"/>
      <c r="Y86" s="81"/>
      <c r="Z86" s="81"/>
      <c r="AA86" s="81"/>
      <c r="AB86" s="81"/>
      <c r="AC86" s="81"/>
    </row>
    <row r="87" spans="2:29" ht="14.4">
      <c r="E87"/>
      <c r="F87"/>
      <c r="H87" s="12"/>
      <c r="I87" s="12"/>
      <c r="J87" s="12"/>
      <c r="K87" s="12"/>
      <c r="L87" s="12"/>
      <c r="M87" s="12"/>
      <c r="N87" s="12"/>
      <c r="O87" s="12"/>
      <c r="P87" s="12"/>
      <c r="Q87" s="12"/>
      <c r="S87" s="12"/>
      <c r="V87" s="375">
        <v>100</v>
      </c>
      <c r="W87" s="374">
        <v>880</v>
      </c>
      <c r="X87" s="81"/>
      <c r="Y87" s="81"/>
      <c r="Z87" s="81"/>
      <c r="AA87" s="81"/>
      <c r="AB87" s="81"/>
      <c r="AC87" s="81"/>
    </row>
    <row r="88" spans="2:29" ht="14.4">
      <c r="B88"/>
      <c r="D88"/>
      <c r="E88"/>
      <c r="F88"/>
      <c r="H88" s="796" t="s">
        <v>98</v>
      </c>
      <c r="I88" s="796" t="s">
        <v>292</v>
      </c>
      <c r="J88" s="796" t="s">
        <v>334</v>
      </c>
      <c r="K88" s="796" t="s">
        <v>293</v>
      </c>
      <c r="L88" s="796" t="s">
        <v>294</v>
      </c>
      <c r="M88" s="796" t="s">
        <v>295</v>
      </c>
      <c r="N88" s="795" t="s">
        <v>335</v>
      </c>
      <c r="O88" s="795" t="s">
        <v>336</v>
      </c>
      <c r="P88" s="795" t="s">
        <v>337</v>
      </c>
      <c r="Q88" s="795" t="s">
        <v>338</v>
      </c>
      <c r="R88" s="795" t="s">
        <v>108</v>
      </c>
      <c r="S88" s="795"/>
      <c r="V88" s="375">
        <v>125</v>
      </c>
      <c r="W88" s="374">
        <v>868</v>
      </c>
      <c r="X88" s="81"/>
      <c r="Y88" s="81"/>
      <c r="Z88" s="81"/>
      <c r="AA88" s="81"/>
      <c r="AB88" s="81"/>
      <c r="AC88" s="81"/>
    </row>
    <row r="89" spans="2:29" ht="14.4">
      <c r="B89" s="828" t="s">
        <v>109</v>
      </c>
      <c r="C89" s="828"/>
      <c r="D89" s="828"/>
      <c r="E89"/>
      <c r="F89"/>
      <c r="H89" s="796"/>
      <c r="I89" s="796"/>
      <c r="J89" s="796"/>
      <c r="K89" s="796"/>
      <c r="L89" s="796"/>
      <c r="M89" s="796"/>
      <c r="N89" s="795"/>
      <c r="O89" s="795"/>
      <c r="P89" s="795"/>
      <c r="Q89" s="795"/>
      <c r="R89" s="795"/>
      <c r="S89" s="795"/>
      <c r="V89" s="375">
        <v>150</v>
      </c>
      <c r="W89" s="374">
        <v>857</v>
      </c>
      <c r="X89" s="81"/>
      <c r="Y89" s="81"/>
      <c r="Z89" s="81"/>
      <c r="AA89" s="81"/>
      <c r="AB89" s="81"/>
      <c r="AC89" s="81"/>
    </row>
    <row r="90" spans="2:29" ht="14.4">
      <c r="B90" s="404" t="s">
        <v>115</v>
      </c>
      <c r="C90" s="404" t="s">
        <v>116</v>
      </c>
      <c r="D90" s="404" t="s">
        <v>117</v>
      </c>
      <c r="E90"/>
      <c r="F90"/>
      <c r="H90" s="808" t="s">
        <v>254</v>
      </c>
      <c r="I90" s="405" t="s">
        <v>232</v>
      </c>
      <c r="J90" s="405" t="s">
        <v>177</v>
      </c>
      <c r="K90" s="405" t="s">
        <v>339</v>
      </c>
      <c r="L90" s="405" t="s">
        <v>332</v>
      </c>
      <c r="M90" s="371" t="str">
        <f t="shared" ref="M90:M113" si="5">_xlfn.CONCAT(I90," ",J90," ",K90)</f>
        <v>Air Cooled Path A &lt;150 tons</v>
      </c>
      <c r="N90" s="405">
        <v>10.1</v>
      </c>
      <c r="O90" s="405">
        <v>13.7</v>
      </c>
      <c r="P90" s="405">
        <v>10.605</v>
      </c>
      <c r="Q90" s="405">
        <v>14.385</v>
      </c>
      <c r="R90" s="799" t="s">
        <v>127</v>
      </c>
      <c r="S90" s="799"/>
      <c r="V90" s="375">
        <v>175</v>
      </c>
      <c r="W90" s="374">
        <v>847</v>
      </c>
      <c r="X90" s="81"/>
      <c r="Y90" s="81"/>
      <c r="Z90" s="81"/>
      <c r="AA90" s="81"/>
      <c r="AB90" s="81"/>
      <c r="AC90" s="81"/>
    </row>
    <row r="91" spans="2:29" ht="14.4">
      <c r="B91" s="20" t="s">
        <v>128</v>
      </c>
      <c r="C91" s="21">
        <v>1114</v>
      </c>
      <c r="D91" s="21">
        <v>1150</v>
      </c>
      <c r="E91"/>
      <c r="F91"/>
      <c r="H91" s="808"/>
      <c r="I91" s="405" t="s">
        <v>232</v>
      </c>
      <c r="J91" s="405" t="s">
        <v>177</v>
      </c>
      <c r="K91" s="405" t="s">
        <v>340</v>
      </c>
      <c r="L91" s="405" t="s">
        <v>332</v>
      </c>
      <c r="M91" s="371" t="str">
        <f t="shared" si="5"/>
        <v>Air Cooled Path A ≥150 tons</v>
      </c>
      <c r="N91" s="405">
        <v>10.1</v>
      </c>
      <c r="O91" s="405">
        <v>14</v>
      </c>
      <c r="P91" s="405">
        <v>10.605</v>
      </c>
      <c r="Q91" s="405">
        <v>14.7</v>
      </c>
      <c r="R91" s="799" t="s">
        <v>127</v>
      </c>
      <c r="S91" s="799"/>
      <c r="V91" s="375">
        <v>200</v>
      </c>
      <c r="W91" s="374">
        <v>837</v>
      </c>
      <c r="X91" s="81"/>
      <c r="Y91" s="81"/>
      <c r="Z91" s="81"/>
      <c r="AA91" s="81"/>
      <c r="AB91" s="81"/>
      <c r="AC91" s="81"/>
    </row>
    <row r="92" spans="2:29" ht="15" customHeight="1">
      <c r="B92" s="406" t="s">
        <v>134</v>
      </c>
      <c r="C92" s="406">
        <v>713</v>
      </c>
      <c r="D92" s="406">
        <v>736</v>
      </c>
      <c r="E92"/>
      <c r="F92"/>
      <c r="H92" s="808"/>
      <c r="I92" s="405" t="s">
        <v>232</v>
      </c>
      <c r="J92" s="405" t="s">
        <v>182</v>
      </c>
      <c r="K92" s="405" t="s">
        <v>339</v>
      </c>
      <c r="L92" s="405" t="s">
        <v>332</v>
      </c>
      <c r="M92" s="371" t="str">
        <f t="shared" si="5"/>
        <v>Air Cooled Path B &lt;150 tons</v>
      </c>
      <c r="N92" s="405">
        <v>9.6999999999999993</v>
      </c>
      <c r="O92" s="405">
        <v>15.8</v>
      </c>
      <c r="P92" s="405">
        <v>10.185</v>
      </c>
      <c r="Q92" s="405">
        <v>16.59</v>
      </c>
      <c r="R92" s="799" t="s">
        <v>127</v>
      </c>
      <c r="S92" s="799"/>
      <c r="V92" s="375">
        <v>225</v>
      </c>
      <c r="W92" s="374">
        <v>828</v>
      </c>
      <c r="X92" s="81"/>
      <c r="Y92" s="81"/>
      <c r="Z92" s="81"/>
      <c r="AA92" s="81"/>
      <c r="AB92" s="81"/>
      <c r="AC92" s="81"/>
    </row>
    <row r="93" spans="2:29" ht="15" customHeight="1">
      <c r="B93" s="406" t="s">
        <v>139</v>
      </c>
      <c r="C93" s="406">
        <v>668</v>
      </c>
      <c r="D93" s="406">
        <v>689</v>
      </c>
      <c r="E93"/>
      <c r="F93"/>
      <c r="H93" s="808"/>
      <c r="I93" s="405" t="s">
        <v>232</v>
      </c>
      <c r="J93" s="405" t="s">
        <v>182</v>
      </c>
      <c r="K93" s="405" t="s">
        <v>340</v>
      </c>
      <c r="L93" s="405" t="s">
        <v>332</v>
      </c>
      <c r="M93" s="371" t="str">
        <f t="shared" si="5"/>
        <v>Air Cooled Path B ≥150 tons</v>
      </c>
      <c r="N93" s="405">
        <v>9.6999999999999993</v>
      </c>
      <c r="O93" s="405">
        <v>16.100000000000001</v>
      </c>
      <c r="P93" s="405">
        <v>10.185</v>
      </c>
      <c r="Q93" s="405">
        <v>16.905000000000001</v>
      </c>
      <c r="R93" s="799" t="s">
        <v>127</v>
      </c>
      <c r="S93" s="799"/>
      <c r="V93" s="375">
        <v>250</v>
      </c>
      <c r="W93" s="374">
        <v>820</v>
      </c>
      <c r="X93" s="81"/>
      <c r="Y93" s="81"/>
      <c r="Z93" s="81"/>
      <c r="AA93" s="81"/>
      <c r="AB93" s="81"/>
      <c r="AC93" s="81"/>
    </row>
    <row r="94" spans="2:29" ht="14.25" customHeight="1">
      <c r="B94" s="406" t="s">
        <v>143</v>
      </c>
      <c r="C94" s="406">
        <v>647</v>
      </c>
      <c r="D94" s="406">
        <v>668</v>
      </c>
      <c r="H94" s="808"/>
      <c r="I94" s="405" t="s">
        <v>260</v>
      </c>
      <c r="J94" s="405" t="s">
        <v>177</v>
      </c>
      <c r="K94" s="405" t="s">
        <v>341</v>
      </c>
      <c r="L94" s="405" t="s">
        <v>332</v>
      </c>
      <c r="M94" s="371" t="str">
        <f t="shared" si="5"/>
        <v>Water Cooled, Positive Displacement Path A &lt;75 tons</v>
      </c>
      <c r="N94" s="405">
        <v>0.75</v>
      </c>
      <c r="O94" s="405">
        <v>0.6</v>
      </c>
      <c r="P94" s="405">
        <v>0.71299999999999997</v>
      </c>
      <c r="Q94" s="405">
        <v>0.56999999999999995</v>
      </c>
      <c r="R94" s="799" t="s">
        <v>127</v>
      </c>
      <c r="S94" s="799"/>
      <c r="V94" s="100" t="s">
        <v>323</v>
      </c>
      <c r="W94" s="81"/>
      <c r="X94" s="81"/>
      <c r="Y94" s="81"/>
      <c r="Z94" s="81"/>
      <c r="AA94" s="81"/>
      <c r="AB94" s="81"/>
      <c r="AC94" s="81"/>
    </row>
    <row r="95" spans="2:29" ht="14.25" customHeight="1">
      <c r="B95" s="406" t="s">
        <v>148</v>
      </c>
      <c r="C95" s="406">
        <v>719</v>
      </c>
      <c r="D95" s="406">
        <v>742</v>
      </c>
      <c r="H95" s="808"/>
      <c r="I95" s="405" t="s">
        <v>260</v>
      </c>
      <c r="J95" s="405" t="s">
        <v>177</v>
      </c>
      <c r="K95" s="405" t="s">
        <v>342</v>
      </c>
      <c r="L95" s="405" t="s">
        <v>332</v>
      </c>
      <c r="M95" s="371" t="str">
        <f t="shared" si="5"/>
        <v>Water Cooled, Positive Displacement Path A ≥75 to &lt;150 tons</v>
      </c>
      <c r="N95" s="405">
        <v>0.72</v>
      </c>
      <c r="O95" s="405">
        <v>0.56000000000000005</v>
      </c>
      <c r="P95" s="405">
        <v>0.68400000000000005</v>
      </c>
      <c r="Q95" s="405">
        <v>0.53200000000000003</v>
      </c>
      <c r="R95" s="799" t="s">
        <v>127</v>
      </c>
      <c r="S95" s="799"/>
      <c r="V95" s="81"/>
      <c r="W95" s="81"/>
      <c r="X95" s="81"/>
      <c r="Y95" s="81"/>
      <c r="Z95" s="81"/>
      <c r="AA95" s="81"/>
      <c r="AB95" s="81"/>
      <c r="AC95" s="81"/>
    </row>
    <row r="96" spans="2:29" ht="14.25" customHeight="1">
      <c r="B96" s="406" t="s">
        <v>151</v>
      </c>
      <c r="C96" s="406">
        <v>530</v>
      </c>
      <c r="D96" s="406">
        <v>546</v>
      </c>
      <c r="H96" s="808"/>
      <c r="I96" s="405" t="s">
        <v>260</v>
      </c>
      <c r="J96" s="405" t="s">
        <v>177</v>
      </c>
      <c r="K96" s="405" t="s">
        <v>343</v>
      </c>
      <c r="L96" s="405" t="s">
        <v>332</v>
      </c>
      <c r="M96" s="371" t="str">
        <f t="shared" si="5"/>
        <v>Water Cooled, Positive Displacement Path A ≥150 to &lt;300 tons</v>
      </c>
      <c r="N96" s="405">
        <v>0.66</v>
      </c>
      <c r="O96" s="405">
        <v>0.54</v>
      </c>
      <c r="P96" s="405">
        <f t="shared" ref="P96:Q96" si="6">ROUND(N96*0.95,3)</f>
        <v>0.627</v>
      </c>
      <c r="Q96" s="405">
        <f t="shared" si="6"/>
        <v>0.51300000000000001</v>
      </c>
      <c r="R96" s="799" t="s">
        <v>127</v>
      </c>
      <c r="S96" s="799"/>
      <c r="V96" s="108" t="s">
        <v>344</v>
      </c>
      <c r="W96" s="108"/>
      <c r="X96" s="81"/>
      <c r="Y96" s="108"/>
      <c r="Z96" s="108"/>
      <c r="AA96" s="108"/>
      <c r="AB96" s="108"/>
      <c r="AC96" s="81"/>
    </row>
    <row r="97" spans="2:29" ht="14.25" customHeight="1">
      <c r="B97" s="406" t="s">
        <v>156</v>
      </c>
      <c r="C97" s="406">
        <v>984</v>
      </c>
      <c r="D97" s="407">
        <v>1015</v>
      </c>
      <c r="H97" s="808"/>
      <c r="I97" s="405" t="s">
        <v>260</v>
      </c>
      <c r="J97" s="405" t="s">
        <v>177</v>
      </c>
      <c r="K97" s="405" t="s">
        <v>345</v>
      </c>
      <c r="L97" s="405" t="s">
        <v>332</v>
      </c>
      <c r="M97" s="371" t="str">
        <f t="shared" si="5"/>
        <v>Water Cooled, Positive Displacement Path A ≥300 to &lt;600 tons</v>
      </c>
      <c r="N97" s="405">
        <v>0.61</v>
      </c>
      <c r="O97" s="405">
        <v>0.52</v>
      </c>
      <c r="P97" s="405">
        <v>0.57999999999999996</v>
      </c>
      <c r="Q97" s="405">
        <v>0.49399999999999999</v>
      </c>
      <c r="R97" s="799" t="s">
        <v>127</v>
      </c>
      <c r="S97" s="799"/>
      <c r="V97" s="108" t="s">
        <v>346</v>
      </c>
      <c r="W97" s="108"/>
      <c r="X97" s="81"/>
      <c r="Y97" s="108"/>
      <c r="Z97" s="108"/>
      <c r="AA97" s="108"/>
      <c r="AB97" s="108"/>
      <c r="AC97" s="81"/>
    </row>
    <row r="98" spans="2:29" ht="14.25" customHeight="1">
      <c r="B98" s="406" t="s">
        <v>157</v>
      </c>
      <c r="C98" s="406">
        <v>214</v>
      </c>
      <c r="D98" s="406">
        <v>221</v>
      </c>
      <c r="H98" s="808"/>
      <c r="I98" s="405" t="s">
        <v>260</v>
      </c>
      <c r="J98" s="405" t="s">
        <v>177</v>
      </c>
      <c r="K98" s="405" t="s">
        <v>347</v>
      </c>
      <c r="L98" s="405" t="s">
        <v>332</v>
      </c>
      <c r="M98" s="371" t="str">
        <f t="shared" si="5"/>
        <v>Water Cooled, Positive Displacement Path A ≥600 tons</v>
      </c>
      <c r="N98" s="405">
        <v>0.56000000000000005</v>
      </c>
      <c r="O98" s="405">
        <v>0.5</v>
      </c>
      <c r="P98" s="405">
        <v>0.53200000000000003</v>
      </c>
      <c r="Q98" s="405">
        <v>0.47499999999999998</v>
      </c>
      <c r="R98" s="799" t="s">
        <v>127</v>
      </c>
      <c r="S98" s="799"/>
      <c r="V98" s="108" t="s">
        <v>273</v>
      </c>
      <c r="W98" s="108"/>
      <c r="X98" s="81"/>
      <c r="Y98" s="108"/>
      <c r="Z98" s="108"/>
      <c r="AA98" s="108"/>
      <c r="AB98" s="108"/>
      <c r="AC98" s="81"/>
    </row>
    <row r="99" spans="2:29" ht="14.25" customHeight="1">
      <c r="B99" s="406" t="s">
        <v>161</v>
      </c>
      <c r="C99" s="406">
        <v>932</v>
      </c>
      <c r="D99" s="406">
        <v>962</v>
      </c>
      <c r="H99" s="808"/>
      <c r="I99" s="405" t="s">
        <v>260</v>
      </c>
      <c r="J99" s="405" t="s">
        <v>182</v>
      </c>
      <c r="K99" s="405" t="s">
        <v>341</v>
      </c>
      <c r="L99" s="405" t="s">
        <v>332</v>
      </c>
      <c r="M99" s="371" t="str">
        <f t="shared" si="5"/>
        <v>Water Cooled, Positive Displacement Path B &lt;75 tons</v>
      </c>
      <c r="N99" s="405">
        <v>0.78</v>
      </c>
      <c r="O99" s="405">
        <v>0.5</v>
      </c>
      <c r="P99" s="405">
        <v>0.74099999999999999</v>
      </c>
      <c r="Q99" s="405">
        <v>0.47499999999999998</v>
      </c>
      <c r="R99" s="799" t="s">
        <v>127</v>
      </c>
      <c r="S99" s="799"/>
      <c r="V99" s="108" t="s">
        <v>271</v>
      </c>
      <c r="W99" s="108"/>
      <c r="X99" s="81"/>
      <c r="Y99" s="108"/>
      <c r="Z99" s="108"/>
      <c r="AA99" s="108"/>
      <c r="AB99" s="108"/>
      <c r="AC99" s="81"/>
    </row>
    <row r="100" spans="2:29" ht="14.25" customHeight="1">
      <c r="B100" s="406" t="s">
        <v>165</v>
      </c>
      <c r="C100" s="407">
        <v>2242</v>
      </c>
      <c r="D100" s="407">
        <v>2313</v>
      </c>
      <c r="H100" s="808"/>
      <c r="I100" s="405" t="s">
        <v>260</v>
      </c>
      <c r="J100" s="405" t="s">
        <v>182</v>
      </c>
      <c r="K100" s="405" t="s">
        <v>342</v>
      </c>
      <c r="L100" s="405" t="s">
        <v>332</v>
      </c>
      <c r="M100" s="371" t="str">
        <f t="shared" si="5"/>
        <v>Water Cooled, Positive Displacement Path B ≥75 to &lt;150 tons</v>
      </c>
      <c r="N100" s="405">
        <v>0.75</v>
      </c>
      <c r="O100" s="405">
        <v>0.49</v>
      </c>
      <c r="P100" s="405">
        <v>0.71299999999999997</v>
      </c>
      <c r="Q100" s="405">
        <v>0.46600000000000003</v>
      </c>
      <c r="R100" s="799" t="s">
        <v>127</v>
      </c>
      <c r="S100" s="799"/>
      <c r="V100" s="108"/>
      <c r="W100" s="108"/>
      <c r="X100" s="81"/>
      <c r="Y100" s="108"/>
      <c r="Z100" s="108"/>
      <c r="AA100" s="108"/>
      <c r="AB100" s="108"/>
      <c r="AC100" s="81"/>
    </row>
    <row r="101" spans="2:29" ht="14.25" customHeight="1">
      <c r="B101" s="406" t="s">
        <v>168</v>
      </c>
      <c r="C101" s="406">
        <v>146</v>
      </c>
      <c r="D101" s="406">
        <v>151</v>
      </c>
      <c r="H101" s="808"/>
      <c r="I101" s="405" t="s">
        <v>260</v>
      </c>
      <c r="J101" s="405" t="s">
        <v>182</v>
      </c>
      <c r="K101" s="405" t="s">
        <v>343</v>
      </c>
      <c r="L101" s="405" t="s">
        <v>332</v>
      </c>
      <c r="M101" s="371" t="str">
        <f t="shared" si="5"/>
        <v>Water Cooled, Positive Displacement Path B ≥150 to &lt;300 tons</v>
      </c>
      <c r="N101" s="405">
        <v>0.68</v>
      </c>
      <c r="O101" s="405">
        <v>0.44</v>
      </c>
      <c r="P101" s="405">
        <f t="shared" ref="P101" si="7">ROUND(N101*0.95,3)</f>
        <v>0.64600000000000002</v>
      </c>
      <c r="Q101" s="405">
        <f t="shared" ref="Q101" si="8">ROUND(O101*0.95,3)</f>
        <v>0.41799999999999998</v>
      </c>
      <c r="R101" s="799" t="s">
        <v>127</v>
      </c>
      <c r="S101" s="799"/>
      <c r="V101" s="108" t="s">
        <v>348</v>
      </c>
      <c r="W101" s="108"/>
      <c r="X101" s="81"/>
      <c r="Y101" s="108"/>
      <c r="Z101" s="108"/>
      <c r="AA101" s="108"/>
      <c r="AB101" s="108"/>
      <c r="AC101" s="81"/>
    </row>
    <row r="102" spans="2:29" ht="14.25" customHeight="1">
      <c r="B102" s="406" t="s">
        <v>171</v>
      </c>
      <c r="C102" s="406">
        <v>585</v>
      </c>
      <c r="D102" s="406">
        <v>603</v>
      </c>
      <c r="H102" s="808"/>
      <c r="I102" s="405" t="s">
        <v>260</v>
      </c>
      <c r="J102" s="405" t="s">
        <v>182</v>
      </c>
      <c r="K102" s="405" t="s">
        <v>345</v>
      </c>
      <c r="L102" s="405" t="s">
        <v>332</v>
      </c>
      <c r="M102" s="371" t="str">
        <f t="shared" si="5"/>
        <v>Water Cooled, Positive Displacement Path B ≥300 to &lt;600 tons</v>
      </c>
      <c r="N102" s="405">
        <v>0.625</v>
      </c>
      <c r="O102" s="405">
        <v>0.41</v>
      </c>
      <c r="P102" s="405">
        <v>0.59399999999999997</v>
      </c>
      <c r="Q102" s="405">
        <v>0.39</v>
      </c>
      <c r="R102" s="799" t="s">
        <v>127</v>
      </c>
      <c r="S102" s="799"/>
      <c r="V102" s="108" t="s">
        <v>349</v>
      </c>
      <c r="W102" s="108"/>
      <c r="X102" s="81"/>
      <c r="Y102" s="108"/>
      <c r="Z102" s="108"/>
      <c r="AA102" s="108"/>
      <c r="AB102" s="108"/>
      <c r="AC102" s="81"/>
    </row>
    <row r="103" spans="2:29" ht="14.25" customHeight="1">
      <c r="B103" s="406" t="s">
        <v>175</v>
      </c>
      <c r="C103" s="406">
        <v>256</v>
      </c>
      <c r="D103" s="406">
        <v>264</v>
      </c>
      <c r="H103" s="808"/>
      <c r="I103" s="405" t="s">
        <v>260</v>
      </c>
      <c r="J103" s="405" t="s">
        <v>182</v>
      </c>
      <c r="K103" s="405" t="s">
        <v>347</v>
      </c>
      <c r="L103" s="405" t="s">
        <v>332</v>
      </c>
      <c r="M103" s="371" t="str">
        <f t="shared" si="5"/>
        <v>Water Cooled, Positive Displacement Path B ≥600 tons</v>
      </c>
      <c r="N103" s="405">
        <v>0.58499999999999996</v>
      </c>
      <c r="O103" s="405">
        <v>0.38</v>
      </c>
      <c r="P103" s="405">
        <v>0.55600000000000005</v>
      </c>
      <c r="Q103" s="405">
        <v>0.36099999999999999</v>
      </c>
      <c r="R103" s="799" t="s">
        <v>127</v>
      </c>
      <c r="S103" s="799"/>
      <c r="V103" s="108" t="s">
        <v>350</v>
      </c>
      <c r="W103" s="108"/>
      <c r="X103" s="81"/>
      <c r="Y103" s="108"/>
      <c r="Z103" s="108"/>
      <c r="AA103" s="108"/>
      <c r="AB103" s="108"/>
      <c r="AC103" s="108"/>
    </row>
    <row r="104" spans="2:29" ht="14.25" customHeight="1">
      <c r="B104" s="406" t="s">
        <v>180</v>
      </c>
      <c r="C104" s="406">
        <v>221</v>
      </c>
      <c r="D104" s="406">
        <v>228</v>
      </c>
      <c r="H104" s="808"/>
      <c r="I104" s="405" t="s">
        <v>262</v>
      </c>
      <c r="J104" s="405" t="s">
        <v>177</v>
      </c>
      <c r="K104" s="405" t="s">
        <v>339</v>
      </c>
      <c r="L104" s="405" t="s">
        <v>332</v>
      </c>
      <c r="M104" s="371" t="str">
        <f t="shared" si="5"/>
        <v>Water Cooled, Centrifugal Path A &lt;150 tons</v>
      </c>
      <c r="N104" s="405">
        <v>0.61</v>
      </c>
      <c r="O104" s="405">
        <v>0.55000000000000004</v>
      </c>
      <c r="P104" s="405">
        <v>0.57999999999999996</v>
      </c>
      <c r="Q104" s="405">
        <v>0.52300000000000002</v>
      </c>
      <c r="R104" s="799" t="s">
        <v>127</v>
      </c>
      <c r="S104" s="799"/>
      <c r="V104" s="108" t="s">
        <v>351</v>
      </c>
      <c r="W104" s="81"/>
      <c r="X104" s="81"/>
      <c r="Y104" s="81"/>
      <c r="Z104" s="81"/>
      <c r="AA104" s="81"/>
      <c r="AB104" s="81"/>
      <c r="AC104" s="81"/>
    </row>
    <row r="105" spans="2:29" ht="14.25" customHeight="1">
      <c r="B105" s="406" t="s">
        <v>185</v>
      </c>
      <c r="C105" s="406">
        <v>440</v>
      </c>
      <c r="D105" s="406">
        <v>454</v>
      </c>
      <c r="H105" s="808"/>
      <c r="I105" s="405" t="s">
        <v>262</v>
      </c>
      <c r="J105" s="405" t="s">
        <v>177</v>
      </c>
      <c r="K105" s="405" t="s">
        <v>343</v>
      </c>
      <c r="L105" s="405" t="s">
        <v>332</v>
      </c>
      <c r="M105" s="371" t="str">
        <f t="shared" si="5"/>
        <v>Water Cooled, Centrifugal Path A ≥150 to &lt;300 tons</v>
      </c>
      <c r="N105" s="405">
        <v>0.61</v>
      </c>
      <c r="O105" s="405">
        <v>0.55000000000000004</v>
      </c>
      <c r="P105" s="405">
        <v>0.57999999999999996</v>
      </c>
      <c r="Q105" s="405">
        <v>0.52300000000000002</v>
      </c>
      <c r="R105" s="799" t="s">
        <v>127</v>
      </c>
      <c r="S105" s="799"/>
      <c r="V105" s="108" t="s">
        <v>352</v>
      </c>
      <c r="W105" s="81"/>
      <c r="X105" s="81"/>
      <c r="Y105" s="81"/>
      <c r="Z105" s="81"/>
      <c r="AA105" s="81"/>
      <c r="AB105" s="81"/>
      <c r="AC105" s="81"/>
    </row>
    <row r="106" spans="2:29" ht="14.25" customHeight="1">
      <c r="B106" s="406" t="s">
        <v>188</v>
      </c>
      <c r="C106" s="407">
        <v>1226</v>
      </c>
      <c r="D106" s="407">
        <v>1265</v>
      </c>
      <c r="H106" s="808"/>
      <c r="I106" s="405" t="s">
        <v>262</v>
      </c>
      <c r="J106" s="405" t="s">
        <v>177</v>
      </c>
      <c r="K106" s="405" t="s">
        <v>353</v>
      </c>
      <c r="L106" s="405" t="s">
        <v>332</v>
      </c>
      <c r="M106" s="371" t="str">
        <f t="shared" si="5"/>
        <v>Water Cooled, Centrifugal Path A ≥300 to &lt;400 tons</v>
      </c>
      <c r="N106" s="405">
        <v>0.56000000000000005</v>
      </c>
      <c r="O106" s="405">
        <v>0.52</v>
      </c>
      <c r="P106" s="405">
        <v>0.53200000000000003</v>
      </c>
      <c r="Q106" s="405">
        <v>0.49399999999999999</v>
      </c>
      <c r="R106" s="799" t="s">
        <v>127</v>
      </c>
      <c r="S106" s="799"/>
      <c r="V106" s="108" t="s">
        <v>354</v>
      </c>
      <c r="W106" s="81"/>
      <c r="X106" s="81"/>
      <c r="Y106" s="81"/>
      <c r="Z106" s="81"/>
      <c r="AA106" s="81"/>
      <c r="AB106" s="81"/>
      <c r="AC106" s="81"/>
    </row>
    <row r="107" spans="2:29" ht="14.25" customHeight="1">
      <c r="B107" s="406" t="s">
        <v>193</v>
      </c>
      <c r="C107" s="407">
        <v>1131</v>
      </c>
      <c r="D107" s="407">
        <v>1167</v>
      </c>
      <c r="H107" s="808"/>
      <c r="I107" s="405" t="s">
        <v>262</v>
      </c>
      <c r="J107" s="405" t="s">
        <v>177</v>
      </c>
      <c r="K107" s="405" t="s">
        <v>355</v>
      </c>
      <c r="L107" s="405" t="s">
        <v>332</v>
      </c>
      <c r="M107" s="371" t="str">
        <f t="shared" si="5"/>
        <v>Water Cooled, Centrifugal Path A ≥400 to &lt;600 tons</v>
      </c>
      <c r="N107" s="405">
        <v>0.56000000000000005</v>
      </c>
      <c r="O107" s="405">
        <v>0.5</v>
      </c>
      <c r="P107" s="405">
        <v>0.53200000000000003</v>
      </c>
      <c r="Q107" s="405">
        <v>0.47499999999999998</v>
      </c>
      <c r="R107" s="799" t="s">
        <v>127</v>
      </c>
      <c r="S107" s="799"/>
      <c r="V107" s="108" t="s">
        <v>356</v>
      </c>
      <c r="W107" s="81"/>
      <c r="X107" s="81"/>
      <c r="Y107" s="81"/>
      <c r="Z107" s="81"/>
      <c r="AA107" s="81"/>
      <c r="AB107" s="81"/>
      <c r="AC107" s="81"/>
    </row>
    <row r="108" spans="2:29" ht="14.25" customHeight="1">
      <c r="B108" s="406" t="s">
        <v>196</v>
      </c>
      <c r="C108" s="406">
        <v>591</v>
      </c>
      <c r="D108" s="406">
        <v>609</v>
      </c>
      <c r="H108" s="808"/>
      <c r="I108" s="405" t="s">
        <v>262</v>
      </c>
      <c r="J108" s="405" t="s">
        <v>177</v>
      </c>
      <c r="K108" s="405" t="s">
        <v>347</v>
      </c>
      <c r="L108" s="405" t="s">
        <v>332</v>
      </c>
      <c r="M108" s="371" t="str">
        <f t="shared" si="5"/>
        <v>Water Cooled, Centrifugal Path A ≥600 tons</v>
      </c>
      <c r="N108" s="405">
        <v>0.56000000000000005</v>
      </c>
      <c r="O108" s="405">
        <v>0.5</v>
      </c>
      <c r="P108" s="405">
        <v>0.52300000000000002</v>
      </c>
      <c r="Q108" s="405">
        <v>0.47499999999999998</v>
      </c>
      <c r="R108" s="799" t="s">
        <v>127</v>
      </c>
      <c r="S108" s="799"/>
      <c r="V108" s="108" t="s">
        <v>357</v>
      </c>
      <c r="W108" s="81"/>
      <c r="X108" s="81"/>
      <c r="Y108" s="81"/>
      <c r="Z108" s="81"/>
      <c r="AA108" s="81"/>
      <c r="AB108" s="81"/>
      <c r="AC108" s="81"/>
    </row>
    <row r="109" spans="2:29" ht="15" customHeight="1">
      <c r="B109" s="406" t="s">
        <v>198</v>
      </c>
      <c r="C109" s="406">
        <v>739</v>
      </c>
      <c r="D109" s="406">
        <v>762</v>
      </c>
      <c r="H109" s="808"/>
      <c r="I109" s="405" t="s">
        <v>262</v>
      </c>
      <c r="J109" s="405" t="s">
        <v>182</v>
      </c>
      <c r="K109" s="405" t="s">
        <v>339</v>
      </c>
      <c r="L109" s="405" t="s">
        <v>332</v>
      </c>
      <c r="M109" s="371" t="str">
        <f t="shared" si="5"/>
        <v>Water Cooled, Centrifugal Path B &lt;150 tons</v>
      </c>
      <c r="N109" s="405">
        <v>0.69499999999999995</v>
      </c>
      <c r="O109" s="405">
        <v>0.44</v>
      </c>
      <c r="P109" s="405">
        <v>0.66</v>
      </c>
      <c r="Q109" s="405">
        <v>0.41799999999999998</v>
      </c>
      <c r="R109" s="799" t="s">
        <v>127</v>
      </c>
      <c r="S109" s="799"/>
      <c r="V109" s="81"/>
      <c r="W109" s="81"/>
      <c r="X109" s="81"/>
      <c r="Y109" s="81"/>
      <c r="Z109" s="81"/>
      <c r="AA109" s="81"/>
      <c r="AB109" s="81"/>
      <c r="AC109" s="81"/>
    </row>
    <row r="110" spans="2:29" ht="14.25" customHeight="1">
      <c r="B110" s="406" t="s">
        <v>200</v>
      </c>
      <c r="C110" s="406">
        <v>622</v>
      </c>
      <c r="D110" s="406">
        <v>642</v>
      </c>
      <c r="H110" s="808"/>
      <c r="I110" s="405" t="s">
        <v>262</v>
      </c>
      <c r="J110" s="405" t="s">
        <v>182</v>
      </c>
      <c r="K110" s="405" t="s">
        <v>343</v>
      </c>
      <c r="L110" s="405" t="s">
        <v>332</v>
      </c>
      <c r="M110" s="371" t="str">
        <f t="shared" si="5"/>
        <v>Water Cooled, Centrifugal Path B ≥150 to &lt;300 tons</v>
      </c>
      <c r="N110" s="405">
        <v>0.63500000000000001</v>
      </c>
      <c r="O110" s="405">
        <v>0.4</v>
      </c>
      <c r="P110" s="405">
        <v>0.60299999999999998</v>
      </c>
      <c r="Q110" s="405">
        <v>0.38</v>
      </c>
      <c r="R110" s="799" t="s">
        <v>127</v>
      </c>
      <c r="S110" s="799"/>
      <c r="V110" s="108" t="s">
        <v>358</v>
      </c>
      <c r="W110" s="81"/>
      <c r="X110" s="188" t="s">
        <v>359</v>
      </c>
      <c r="Y110" s="81"/>
      <c r="Z110" s="81"/>
      <c r="AA110" s="81"/>
      <c r="AB110" s="81"/>
      <c r="AC110" s="81"/>
    </row>
    <row r="111" spans="2:29" ht="14.25" customHeight="1">
      <c r="B111" s="406" t="s">
        <v>205</v>
      </c>
      <c r="C111" s="406">
        <v>854</v>
      </c>
      <c r="D111" s="406">
        <v>881</v>
      </c>
      <c r="H111" s="808"/>
      <c r="I111" s="405" t="s">
        <v>262</v>
      </c>
      <c r="J111" s="405" t="s">
        <v>182</v>
      </c>
      <c r="K111" s="405" t="s">
        <v>353</v>
      </c>
      <c r="L111" s="405" t="s">
        <v>332</v>
      </c>
      <c r="M111" s="371" t="str">
        <f t="shared" si="5"/>
        <v>Water Cooled, Centrifugal Path B ≥300 to &lt;400 tons</v>
      </c>
      <c r="N111" s="405">
        <v>0.59499999999999997</v>
      </c>
      <c r="O111" s="405">
        <v>0.39</v>
      </c>
      <c r="P111" s="405">
        <v>0.56499999999999995</v>
      </c>
      <c r="Q111" s="405">
        <v>0.371</v>
      </c>
      <c r="R111" s="799" t="s">
        <v>127</v>
      </c>
      <c r="S111" s="799"/>
      <c r="V111" s="108" t="s">
        <v>360</v>
      </c>
      <c r="W111" s="81"/>
      <c r="X111" s="189" t="s">
        <v>361</v>
      </c>
      <c r="Y111" s="81"/>
      <c r="Z111" s="81"/>
      <c r="AA111" s="81"/>
      <c r="AB111" s="81"/>
      <c r="AC111" s="81"/>
    </row>
    <row r="112" spans="2:29" ht="14.25" customHeight="1">
      <c r="B112" s="406" t="s">
        <v>209</v>
      </c>
      <c r="C112" s="406">
        <v>342</v>
      </c>
      <c r="D112" s="406">
        <v>353</v>
      </c>
      <c r="H112" s="808"/>
      <c r="I112" s="405" t="s">
        <v>262</v>
      </c>
      <c r="J112" s="405" t="s">
        <v>182</v>
      </c>
      <c r="K112" s="405" t="s">
        <v>355</v>
      </c>
      <c r="L112" s="405" t="s">
        <v>332</v>
      </c>
      <c r="M112" s="371" t="str">
        <f t="shared" si="5"/>
        <v>Water Cooled, Centrifugal Path B ≥400 to &lt;600 tons</v>
      </c>
      <c r="N112" s="405">
        <v>0.58499999999999996</v>
      </c>
      <c r="O112" s="405">
        <v>0.38</v>
      </c>
      <c r="P112" s="405">
        <v>0.55600000000000005</v>
      </c>
      <c r="Q112" s="405">
        <v>0.36099999999999999</v>
      </c>
      <c r="R112" s="799" t="s">
        <v>127</v>
      </c>
      <c r="S112" s="799"/>
      <c r="V112" s="108" t="s">
        <v>362</v>
      </c>
      <c r="W112" s="81"/>
      <c r="X112" s="190" t="s">
        <v>363</v>
      </c>
      <c r="Y112" s="81"/>
      <c r="Z112" s="81"/>
      <c r="AA112" s="81"/>
      <c r="AB112" s="81"/>
      <c r="AC112" s="81"/>
    </row>
    <row r="113" spans="2:29" ht="15" customHeight="1">
      <c r="B113" s="22" t="s">
        <v>210</v>
      </c>
      <c r="C113" s="19"/>
      <c r="D113" s="19"/>
      <c r="H113" s="808"/>
      <c r="I113" s="405" t="s">
        <v>262</v>
      </c>
      <c r="J113" s="405" t="s">
        <v>182</v>
      </c>
      <c r="K113" s="405" t="s">
        <v>347</v>
      </c>
      <c r="L113" s="405" t="s">
        <v>332</v>
      </c>
      <c r="M113" s="371" t="str">
        <f t="shared" si="5"/>
        <v>Water Cooled, Centrifugal Path B ≥600 tons</v>
      </c>
      <c r="N113" s="405">
        <v>0.58499999999999996</v>
      </c>
      <c r="O113" s="405">
        <v>0.38</v>
      </c>
      <c r="P113" s="405">
        <v>0.55600000000000005</v>
      </c>
      <c r="Q113" s="405">
        <v>0.36099999999999999</v>
      </c>
      <c r="R113" s="799" t="s">
        <v>127</v>
      </c>
      <c r="S113" s="799"/>
      <c r="V113" s="108" t="s">
        <v>229</v>
      </c>
      <c r="W113" s="81"/>
      <c r="X113" s="81"/>
      <c r="Y113" s="81"/>
      <c r="Z113" s="81"/>
      <c r="AA113" s="81"/>
      <c r="AB113" s="81"/>
      <c r="AC113" s="81"/>
    </row>
    <row r="114" spans="2:29">
      <c r="V114" s="108" t="s">
        <v>364</v>
      </c>
      <c r="W114" s="81"/>
      <c r="X114" s="81" t="s">
        <v>365</v>
      </c>
      <c r="Y114" s="81" t="s">
        <v>366</v>
      </c>
      <c r="Z114" s="81"/>
      <c r="AA114" s="81"/>
      <c r="AB114" s="81"/>
      <c r="AC114" s="81"/>
    </row>
    <row r="115" spans="2:29" ht="14.4">
      <c r="B115" s="828" t="s">
        <v>110</v>
      </c>
      <c r="C115" s="828"/>
      <c r="D115" s="828"/>
      <c r="H115" s="796" t="s">
        <v>98</v>
      </c>
      <c r="I115" s="796" t="s">
        <v>292</v>
      </c>
      <c r="J115" s="803" t="s">
        <v>221</v>
      </c>
      <c r="K115" s="796" t="s">
        <v>293</v>
      </c>
      <c r="L115" s="803" t="s">
        <v>294</v>
      </c>
      <c r="M115" s="796" t="s">
        <v>295</v>
      </c>
      <c r="N115"/>
      <c r="O115"/>
      <c r="V115" s="108" t="s">
        <v>367</v>
      </c>
      <c r="W115" s="81"/>
      <c r="X115" s="81" t="s">
        <v>368</v>
      </c>
      <c r="Y115" s="81" t="s">
        <v>369</v>
      </c>
      <c r="Z115" s="81"/>
      <c r="AA115" s="81"/>
      <c r="AB115" s="81"/>
      <c r="AC115" s="81"/>
    </row>
    <row r="116" spans="2:29" ht="15" customHeight="1">
      <c r="B116" s="404" t="s">
        <v>115</v>
      </c>
      <c r="C116" s="404" t="s">
        <v>116</v>
      </c>
      <c r="D116" s="404" t="s">
        <v>117</v>
      </c>
      <c r="H116" s="796"/>
      <c r="I116" s="796"/>
      <c r="J116" s="804"/>
      <c r="K116" s="796"/>
      <c r="L116" s="804"/>
      <c r="M116" s="796"/>
      <c r="N116"/>
      <c r="O116"/>
      <c r="V116" s="108" t="s">
        <v>133</v>
      </c>
      <c r="W116" s="81"/>
      <c r="X116" s="81" t="s">
        <v>370</v>
      </c>
      <c r="Y116" s="81" t="s">
        <v>371</v>
      </c>
      <c r="Z116" s="81"/>
      <c r="AA116" s="81"/>
      <c r="AB116" s="81"/>
      <c r="AC116" s="81"/>
    </row>
    <row r="117" spans="2:29" ht="14.4">
      <c r="B117" s="20" t="s">
        <v>128</v>
      </c>
      <c r="C117" s="406">
        <v>937</v>
      </c>
      <c r="D117" s="406">
        <v>922</v>
      </c>
      <c r="H117" s="805" t="s">
        <v>372</v>
      </c>
      <c r="I117" s="408" t="s">
        <v>373</v>
      </c>
      <c r="J117" s="405" t="s">
        <v>332</v>
      </c>
      <c r="K117" s="405" t="s">
        <v>374</v>
      </c>
      <c r="L117" s="405" t="s">
        <v>332</v>
      </c>
      <c r="M117" s="409" t="str">
        <f t="shared" ref="M117:M127" si="9">_xlfn.CONCAT(I117," ",K117)</f>
        <v>Air Source Heat Pump &lt;65,000 Btu/h</v>
      </c>
      <c r="N117"/>
      <c r="O117"/>
      <c r="V117" s="81"/>
      <c r="W117" s="81"/>
      <c r="X117" s="81"/>
      <c r="Y117" s="81"/>
      <c r="Z117" s="81"/>
      <c r="AA117" s="81"/>
      <c r="AB117" s="81"/>
      <c r="AC117" s="81"/>
    </row>
    <row r="118" spans="2:29" ht="14.4">
      <c r="B118" s="406" t="s">
        <v>134</v>
      </c>
      <c r="C118" s="406">
        <v>713</v>
      </c>
      <c r="D118" s="406">
        <v>701</v>
      </c>
      <c r="H118" s="806"/>
      <c r="I118" s="408" t="s">
        <v>373</v>
      </c>
      <c r="J118" s="405" t="s">
        <v>332</v>
      </c>
      <c r="K118" s="405" t="s">
        <v>375</v>
      </c>
      <c r="L118" s="405" t="s">
        <v>332</v>
      </c>
      <c r="M118" s="409" t="str">
        <f t="shared" si="9"/>
        <v>Air Source Heat Pump ≥65,000 to &lt;135,000 Btu/h</v>
      </c>
      <c r="N118"/>
      <c r="O118"/>
      <c r="V118" s="81" t="s">
        <v>376</v>
      </c>
      <c r="W118" s="81"/>
      <c r="X118" s="81"/>
      <c r="Y118" s="81"/>
      <c r="Z118" s="81"/>
      <c r="AA118" s="81"/>
      <c r="AB118" s="81"/>
      <c r="AC118" s="81"/>
    </row>
    <row r="119" spans="2:29" ht="14.4">
      <c r="B119" s="406" t="s">
        <v>139</v>
      </c>
      <c r="C119" s="406">
        <v>293</v>
      </c>
      <c r="D119" s="406">
        <v>288</v>
      </c>
      <c r="H119" s="806"/>
      <c r="I119" s="408" t="s">
        <v>373</v>
      </c>
      <c r="J119" s="405" t="s">
        <v>332</v>
      </c>
      <c r="K119" s="405" t="s">
        <v>377</v>
      </c>
      <c r="L119" s="405" t="s">
        <v>332</v>
      </c>
      <c r="M119" s="409" t="str">
        <f t="shared" si="9"/>
        <v>Air Source Heat Pump ≥135,000 to &lt;240,000 Btu/h</v>
      </c>
      <c r="N119"/>
      <c r="O119"/>
      <c r="V119" s="81" t="s">
        <v>378</v>
      </c>
      <c r="W119" s="81"/>
      <c r="X119" s="81" t="s">
        <v>379</v>
      </c>
      <c r="Y119" s="81"/>
      <c r="Z119" s="81"/>
      <c r="AA119" s="81"/>
      <c r="AB119" s="81"/>
      <c r="AC119" s="81"/>
    </row>
    <row r="120" spans="2:29" ht="14.4">
      <c r="B120" s="406" t="s">
        <v>143</v>
      </c>
      <c r="C120" s="406">
        <v>348</v>
      </c>
      <c r="D120" s="406">
        <v>342</v>
      </c>
      <c r="E120"/>
      <c r="F120"/>
      <c r="H120" s="806"/>
      <c r="I120" s="408" t="s">
        <v>373</v>
      </c>
      <c r="J120" s="405" t="s">
        <v>332</v>
      </c>
      <c r="K120" s="405" t="s">
        <v>380</v>
      </c>
      <c r="L120" s="405" t="s">
        <v>332</v>
      </c>
      <c r="M120" s="409" t="str">
        <f t="shared" si="9"/>
        <v>Air Source Heat Pump ≥240,000 to ≤300,000 Btu/h</v>
      </c>
      <c r="N120"/>
      <c r="O120"/>
      <c r="V120" s="81"/>
      <c r="W120" s="81"/>
      <c r="X120" s="81" t="s">
        <v>381</v>
      </c>
      <c r="Y120" s="81"/>
      <c r="Z120" s="81"/>
      <c r="AA120" s="81"/>
      <c r="AB120" s="81"/>
      <c r="AC120" s="81"/>
    </row>
    <row r="121" spans="2:29" ht="15" customHeight="1">
      <c r="B121" s="406" t="s">
        <v>148</v>
      </c>
      <c r="C121" s="406">
        <v>337</v>
      </c>
      <c r="D121" s="406">
        <v>331</v>
      </c>
      <c r="E121"/>
      <c r="F121"/>
      <c r="H121" s="806"/>
      <c r="I121" s="408" t="s">
        <v>249</v>
      </c>
      <c r="J121" s="405" t="s">
        <v>332</v>
      </c>
      <c r="K121" s="405" t="s">
        <v>374</v>
      </c>
      <c r="L121" s="405" t="s">
        <v>332</v>
      </c>
      <c r="M121" s="409" t="str">
        <f t="shared" si="9"/>
        <v>Electric Resistance &lt;65,000 Btu/h</v>
      </c>
      <c r="N121"/>
      <c r="O121"/>
      <c r="V121" s="81" t="s">
        <v>382</v>
      </c>
      <c r="W121" s="81"/>
      <c r="X121" s="81" t="s">
        <v>383</v>
      </c>
      <c r="Y121" s="81"/>
      <c r="Z121" s="81"/>
      <c r="AA121" s="81"/>
      <c r="AB121" s="81"/>
      <c r="AC121" s="81"/>
    </row>
    <row r="122" spans="2:29" ht="14.4">
      <c r="B122" s="406" t="s">
        <v>151</v>
      </c>
      <c r="C122" s="406">
        <v>787</v>
      </c>
      <c r="D122" s="406">
        <v>774</v>
      </c>
      <c r="E122"/>
      <c r="F122"/>
      <c r="H122" s="806"/>
      <c r="I122" s="408" t="s">
        <v>249</v>
      </c>
      <c r="J122" s="405" t="s">
        <v>332</v>
      </c>
      <c r="K122" s="405" t="s">
        <v>375</v>
      </c>
      <c r="L122" s="405" t="s">
        <v>332</v>
      </c>
      <c r="M122" s="409" t="str">
        <f t="shared" si="9"/>
        <v>Electric Resistance ≥65,000 to &lt;135,000 Btu/h</v>
      </c>
      <c r="N122"/>
      <c r="O122"/>
      <c r="V122" s="81" t="s">
        <v>384</v>
      </c>
      <c r="W122" s="81"/>
      <c r="X122" s="81" t="s">
        <v>385</v>
      </c>
      <c r="Y122" s="81"/>
      <c r="Z122" s="81"/>
      <c r="AA122" s="81"/>
      <c r="AB122" s="81"/>
      <c r="AC122" s="81"/>
    </row>
    <row r="123" spans="2:29" ht="14.4">
      <c r="B123" s="406" t="s">
        <v>156</v>
      </c>
      <c r="C123" s="406">
        <v>672</v>
      </c>
      <c r="D123" s="406">
        <v>662</v>
      </c>
      <c r="E123"/>
      <c r="F123"/>
      <c r="H123" s="806"/>
      <c r="I123" s="408" t="s">
        <v>249</v>
      </c>
      <c r="J123" s="405" t="s">
        <v>332</v>
      </c>
      <c r="K123" s="405" t="s">
        <v>377</v>
      </c>
      <c r="L123" s="405" t="s">
        <v>332</v>
      </c>
      <c r="M123" s="409" t="str">
        <f t="shared" si="9"/>
        <v>Electric Resistance ≥135,000 to &lt;240,000 Btu/h</v>
      </c>
      <c r="N123"/>
      <c r="O123"/>
      <c r="V123" s="81"/>
      <c r="W123" s="81"/>
      <c r="X123" s="81"/>
      <c r="Y123" s="81"/>
      <c r="Z123" s="81"/>
      <c r="AA123" s="81"/>
      <c r="AB123" s="81"/>
      <c r="AC123" s="81"/>
    </row>
    <row r="124" spans="2:29" ht="14.4">
      <c r="B124" s="406" t="s">
        <v>157</v>
      </c>
      <c r="C124" s="407">
        <v>1213</v>
      </c>
      <c r="D124" s="407">
        <v>1194</v>
      </c>
      <c r="E124"/>
      <c r="F124"/>
      <c r="H124" s="806"/>
      <c r="I124" s="408" t="s">
        <v>249</v>
      </c>
      <c r="J124" s="405" t="s">
        <v>332</v>
      </c>
      <c r="K124" s="405" t="s">
        <v>380</v>
      </c>
      <c r="L124" s="405" t="s">
        <v>332</v>
      </c>
      <c r="M124" s="409" t="str">
        <f t="shared" si="9"/>
        <v>Electric Resistance ≥240,000 to ≤300,000 Btu/h</v>
      </c>
      <c r="N124"/>
      <c r="O124"/>
      <c r="V124" s="109" t="s">
        <v>386</v>
      </c>
      <c r="W124" s="81"/>
      <c r="X124" s="81"/>
      <c r="Y124" s="81"/>
      <c r="Z124" s="81"/>
      <c r="AA124" s="81"/>
      <c r="AB124" s="81"/>
      <c r="AC124" s="81"/>
    </row>
    <row r="125" spans="2:29" ht="14.4">
      <c r="B125" s="406" t="s">
        <v>161</v>
      </c>
      <c r="C125" s="406">
        <v>645</v>
      </c>
      <c r="D125" s="406">
        <v>634</v>
      </c>
      <c r="E125"/>
      <c r="F125"/>
      <c r="H125" s="806"/>
      <c r="I125" s="408" t="s">
        <v>216</v>
      </c>
      <c r="J125" s="405" t="s">
        <v>332</v>
      </c>
      <c r="K125" s="405" t="s">
        <v>374</v>
      </c>
      <c r="L125" s="405" t="s">
        <v>332</v>
      </c>
      <c r="M125" s="409" t="str">
        <f t="shared" si="9"/>
        <v>None &lt;65,000 Btu/h</v>
      </c>
      <c r="N125"/>
      <c r="O125"/>
      <c r="V125" s="81" t="s">
        <v>167</v>
      </c>
      <c r="W125" s="81"/>
      <c r="X125" s="81"/>
      <c r="Y125" s="81"/>
      <c r="Z125" s="81"/>
      <c r="AA125" s="81"/>
      <c r="AB125" s="81"/>
      <c r="AC125" s="81"/>
    </row>
    <row r="126" spans="2:29" ht="14.4">
      <c r="B126" s="406" t="s">
        <v>165</v>
      </c>
      <c r="C126" s="407">
        <v>1816</v>
      </c>
      <c r="D126" s="407">
        <v>1787</v>
      </c>
      <c r="E126"/>
      <c r="F126"/>
      <c r="H126" s="806"/>
      <c r="I126" s="408" t="s">
        <v>216</v>
      </c>
      <c r="J126" s="405" t="s">
        <v>332</v>
      </c>
      <c r="K126" s="405" t="s">
        <v>375</v>
      </c>
      <c r="L126" s="405" t="s">
        <v>332</v>
      </c>
      <c r="M126" s="409" t="str">
        <f t="shared" si="9"/>
        <v>None ≥65,000 to &lt;135,000 Btu/h</v>
      </c>
      <c r="N126"/>
      <c r="O126"/>
      <c r="V126" s="81"/>
      <c r="W126" s="81"/>
      <c r="X126" s="81"/>
      <c r="Y126" s="81"/>
      <c r="Z126" s="81"/>
      <c r="AA126" s="81"/>
      <c r="AB126" s="81"/>
      <c r="AC126" s="81"/>
    </row>
    <row r="127" spans="2:29" ht="14.4">
      <c r="B127" s="406" t="s">
        <v>168</v>
      </c>
      <c r="C127" s="406">
        <v>867</v>
      </c>
      <c r="D127" s="406">
        <v>853</v>
      </c>
      <c r="E127"/>
      <c r="F127"/>
      <c r="H127" s="806"/>
      <c r="I127" s="408" t="s">
        <v>216</v>
      </c>
      <c r="J127" s="405" t="s">
        <v>332</v>
      </c>
      <c r="K127" s="405" t="s">
        <v>377</v>
      </c>
      <c r="L127" s="405" t="s">
        <v>332</v>
      </c>
      <c r="M127" s="409" t="str">
        <f t="shared" si="9"/>
        <v>None ≥135,000 to &lt;240,000 Btu/h</v>
      </c>
      <c r="N127"/>
      <c r="O127"/>
      <c r="V127" s="369" t="s">
        <v>99</v>
      </c>
      <c r="W127" s="370" t="s">
        <v>222</v>
      </c>
      <c r="X127" s="81"/>
      <c r="Y127" s="81"/>
      <c r="Z127" s="81"/>
      <c r="AA127" s="81"/>
      <c r="AB127" s="81"/>
      <c r="AC127" s="81"/>
    </row>
    <row r="128" spans="2:29" ht="14.4">
      <c r="B128" s="406" t="s">
        <v>171</v>
      </c>
      <c r="C128" s="406">
        <v>456</v>
      </c>
      <c r="D128" s="406">
        <v>449</v>
      </c>
      <c r="E128"/>
      <c r="F128"/>
      <c r="H128" s="806"/>
      <c r="I128" s="408" t="s">
        <v>216</v>
      </c>
      <c r="J128" s="405" t="s">
        <v>332</v>
      </c>
      <c r="K128" s="405" t="s">
        <v>380</v>
      </c>
      <c r="L128" s="405" t="s">
        <v>332</v>
      </c>
      <c r="M128" s="409" t="str">
        <f>_xlfn.CONCAT(I128," ",K128)</f>
        <v>None ≥240,000 to ≤300,000 Btu/h</v>
      </c>
      <c r="N128"/>
      <c r="O128"/>
      <c r="V128" s="375" t="s">
        <v>387</v>
      </c>
      <c r="W128" s="374">
        <v>0.8</v>
      </c>
      <c r="X128" s="81"/>
      <c r="Y128" s="81"/>
      <c r="Z128" s="81"/>
      <c r="AA128" s="81"/>
      <c r="AB128" s="81"/>
      <c r="AC128" s="81"/>
    </row>
    <row r="129" spans="2:29" ht="14.4">
      <c r="B129" s="406" t="s">
        <v>175</v>
      </c>
      <c r="C129" s="407">
        <v>1509</v>
      </c>
      <c r="D129" s="407">
        <v>1485</v>
      </c>
      <c r="E129"/>
      <c r="F129"/>
      <c r="H129" s="806"/>
      <c r="I129" s="408" t="s">
        <v>388</v>
      </c>
      <c r="J129" s="405" t="s">
        <v>332</v>
      </c>
      <c r="K129" s="405" t="s">
        <v>374</v>
      </c>
      <c r="L129" s="405" t="s">
        <v>332</v>
      </c>
      <c r="M129" s="409" t="str">
        <f t="shared" ref="M129:M132" si="10">_xlfn.CONCAT(I129," ",K129)</f>
        <v>Non-Electric &lt;65,000 Btu/h</v>
      </c>
      <c r="N129"/>
      <c r="O129"/>
      <c r="V129" s="375" t="s">
        <v>389</v>
      </c>
      <c r="W129" s="374">
        <v>0.82</v>
      </c>
      <c r="X129" s="81"/>
      <c r="Y129" s="81"/>
      <c r="Z129" s="81"/>
      <c r="AA129" s="81"/>
      <c r="AB129" s="81"/>
      <c r="AC129" s="81"/>
    </row>
    <row r="130" spans="2:29" ht="14.4">
      <c r="B130" s="406" t="s">
        <v>180</v>
      </c>
      <c r="C130" s="406">
        <v>727</v>
      </c>
      <c r="D130" s="406">
        <v>716</v>
      </c>
      <c r="E130"/>
      <c r="F130"/>
      <c r="H130" s="806"/>
      <c r="I130" s="408" t="s">
        <v>388</v>
      </c>
      <c r="J130" s="405" t="s">
        <v>332</v>
      </c>
      <c r="K130" s="405" t="s">
        <v>375</v>
      </c>
      <c r="L130" s="405" t="s">
        <v>332</v>
      </c>
      <c r="M130" s="409" t="str">
        <f t="shared" si="10"/>
        <v>Non-Electric ≥65,000 to &lt;135,000 Btu/h</v>
      </c>
      <c r="N130"/>
      <c r="O130"/>
      <c r="V130" s="375" t="s">
        <v>390</v>
      </c>
      <c r="W130" s="374">
        <v>0.84</v>
      </c>
      <c r="X130" s="81"/>
      <c r="Y130" s="81"/>
      <c r="Z130" s="81"/>
      <c r="AA130" s="81"/>
      <c r="AB130" s="81"/>
      <c r="AC130" s="81"/>
    </row>
    <row r="131" spans="2:29" ht="14.4">
      <c r="B131" s="406" t="s">
        <v>185</v>
      </c>
      <c r="C131" s="406">
        <v>629</v>
      </c>
      <c r="D131" s="406">
        <v>619</v>
      </c>
      <c r="E131"/>
      <c r="F131"/>
      <c r="H131" s="806"/>
      <c r="I131" s="408" t="s">
        <v>388</v>
      </c>
      <c r="J131" s="405" t="s">
        <v>332</v>
      </c>
      <c r="K131" s="405" t="s">
        <v>377</v>
      </c>
      <c r="L131" s="405" t="s">
        <v>332</v>
      </c>
      <c r="M131" s="409" t="str">
        <f t="shared" si="10"/>
        <v>Non-Electric ≥135,000 to &lt;240,000 Btu/h</v>
      </c>
      <c r="N131"/>
      <c r="O131"/>
      <c r="V131" s="375" t="s">
        <v>391</v>
      </c>
      <c r="W131" s="374">
        <v>0.8</v>
      </c>
      <c r="X131" s="81"/>
      <c r="Y131" s="81"/>
      <c r="Z131" s="81"/>
      <c r="AA131" s="81"/>
      <c r="AB131" s="81"/>
      <c r="AC131" s="81"/>
    </row>
    <row r="132" spans="2:29" ht="14.4">
      <c r="B132" s="406" t="s">
        <v>188</v>
      </c>
      <c r="C132" s="406">
        <v>724</v>
      </c>
      <c r="D132" s="406">
        <v>712</v>
      </c>
      <c r="E132"/>
      <c r="F132"/>
      <c r="H132" s="807"/>
      <c r="I132" s="408" t="s">
        <v>388</v>
      </c>
      <c r="J132" s="405" t="s">
        <v>332</v>
      </c>
      <c r="K132" s="405" t="s">
        <v>380</v>
      </c>
      <c r="L132" s="405" t="s">
        <v>332</v>
      </c>
      <c r="M132" s="409" t="str">
        <f t="shared" si="10"/>
        <v>Non-Electric ≥240,000 to ≤300,000 Btu/h</v>
      </c>
      <c r="N132"/>
      <c r="O132"/>
      <c r="V132" s="375" t="s">
        <v>392</v>
      </c>
      <c r="W132" s="374">
        <v>0.8</v>
      </c>
      <c r="X132" s="81"/>
      <c r="Y132" s="81"/>
      <c r="Z132" s="81"/>
      <c r="AA132" s="81"/>
      <c r="AB132" s="81"/>
      <c r="AC132" s="81"/>
    </row>
    <row r="133" spans="2:29" ht="14.4">
      <c r="B133" s="406" t="s">
        <v>193</v>
      </c>
      <c r="C133" s="406">
        <v>762</v>
      </c>
      <c r="D133" s="406">
        <v>750</v>
      </c>
      <c r="E133"/>
      <c r="F133"/>
      <c r="H133" s="803" t="s">
        <v>98</v>
      </c>
      <c r="I133" s="803" t="s">
        <v>292</v>
      </c>
      <c r="J133" s="803" t="s">
        <v>221</v>
      </c>
      <c r="K133" s="796" t="s">
        <v>293</v>
      </c>
      <c r="L133" s="803" t="s">
        <v>294</v>
      </c>
      <c r="M133" s="796" t="s">
        <v>295</v>
      </c>
      <c r="N133"/>
      <c r="O133"/>
      <c r="V133" s="375" t="s">
        <v>393</v>
      </c>
      <c r="W133" s="374">
        <v>0.82</v>
      </c>
      <c r="X133" s="81"/>
      <c r="Y133" s="81"/>
      <c r="Z133" s="81"/>
      <c r="AA133" s="81"/>
      <c r="AB133" s="81"/>
      <c r="AC133" s="81"/>
    </row>
    <row r="134" spans="2:29" ht="14.4">
      <c r="B134" s="406" t="s">
        <v>196</v>
      </c>
      <c r="C134" s="406">
        <v>880</v>
      </c>
      <c r="D134" s="406">
        <v>866</v>
      </c>
      <c r="E134"/>
      <c r="F134"/>
      <c r="H134" s="804"/>
      <c r="I134" s="804"/>
      <c r="J134" s="804"/>
      <c r="K134" s="796"/>
      <c r="L134" s="804"/>
      <c r="M134" s="796"/>
      <c r="N134"/>
      <c r="O134"/>
      <c r="V134" s="81"/>
      <c r="W134" s="81"/>
      <c r="X134" s="81"/>
      <c r="Y134" s="81"/>
      <c r="Z134" s="81"/>
      <c r="AA134" s="81"/>
      <c r="AB134" s="81"/>
      <c r="AC134" s="81"/>
    </row>
    <row r="135" spans="2:29" ht="14.4">
      <c r="B135" s="406" t="s">
        <v>198</v>
      </c>
      <c r="C135" s="406">
        <v>904</v>
      </c>
      <c r="D135" s="406">
        <v>890</v>
      </c>
      <c r="E135"/>
      <c r="F135"/>
      <c r="H135" s="805" t="s">
        <v>394</v>
      </c>
      <c r="I135" s="408" t="s">
        <v>395</v>
      </c>
      <c r="J135" s="405" t="s">
        <v>332</v>
      </c>
      <c r="K135" s="405" t="s">
        <v>374</v>
      </c>
      <c r="L135" s="405" t="s">
        <v>332</v>
      </c>
      <c r="M135" s="409" t="str">
        <f>_xlfn.CONCAT(I135," ",K135)</f>
        <v>Air Source Air Conditioner &lt;65,000 Btu/h</v>
      </c>
      <c r="N135"/>
      <c r="O135"/>
      <c r="V135" s="81" t="s">
        <v>396</v>
      </c>
      <c r="W135" s="81"/>
      <c r="X135" s="81"/>
      <c r="Y135" s="81"/>
      <c r="Z135" s="81"/>
      <c r="AA135" s="81"/>
      <c r="AB135" s="81"/>
      <c r="AC135" s="81"/>
    </row>
    <row r="136" spans="2:29" ht="14.4">
      <c r="B136" s="406" t="s">
        <v>200</v>
      </c>
      <c r="C136" s="406">
        <v>915</v>
      </c>
      <c r="D136" s="406">
        <v>901</v>
      </c>
      <c r="E136"/>
      <c r="F136"/>
      <c r="H136" s="806"/>
      <c r="I136" s="408" t="s">
        <v>395</v>
      </c>
      <c r="J136" s="405" t="s">
        <v>332</v>
      </c>
      <c r="K136" s="405" t="s">
        <v>375</v>
      </c>
      <c r="L136" s="405" t="s">
        <v>332</v>
      </c>
      <c r="M136" s="409" t="str">
        <f t="shared" ref="M136:M150" si="11">_xlfn.CONCAT(I136," ",K136)</f>
        <v>Air Source Air Conditioner ≥65,000 to &lt;135,000 Btu/h</v>
      </c>
      <c r="N136"/>
      <c r="O136"/>
      <c r="V136" s="375" t="s">
        <v>397</v>
      </c>
      <c r="W136" s="374">
        <v>1</v>
      </c>
      <c r="X136" s="81"/>
      <c r="Y136" s="81"/>
      <c r="Z136" s="81"/>
      <c r="AA136" s="81"/>
      <c r="AB136" s="81"/>
      <c r="AC136" s="81"/>
    </row>
    <row r="137" spans="2:29" ht="15" customHeight="1">
      <c r="B137" s="406" t="s">
        <v>205</v>
      </c>
      <c r="C137" s="406">
        <v>243</v>
      </c>
      <c r="D137" s="406">
        <v>239</v>
      </c>
      <c r="E137"/>
      <c r="F137"/>
      <c r="H137" s="806"/>
      <c r="I137" s="408" t="s">
        <v>395</v>
      </c>
      <c r="J137" s="405" t="s">
        <v>332</v>
      </c>
      <c r="K137" s="405" t="s">
        <v>377</v>
      </c>
      <c r="L137" s="405" t="s">
        <v>332</v>
      </c>
      <c r="M137" s="409" t="str">
        <f t="shared" si="11"/>
        <v>Air Source Air Conditioner ≥135,000 to &lt;240,000 Btu/h</v>
      </c>
      <c r="N137"/>
      <c r="O137"/>
      <c r="V137" s="375" t="s">
        <v>398</v>
      </c>
      <c r="W137" s="374">
        <v>1.2</v>
      </c>
      <c r="X137" s="81"/>
      <c r="Y137" s="81"/>
      <c r="Z137" s="81"/>
      <c r="AA137" s="81"/>
      <c r="AB137" s="81"/>
      <c r="AC137" s="81"/>
    </row>
    <row r="138" spans="2:29" ht="14.4">
      <c r="B138" s="406" t="s">
        <v>209</v>
      </c>
      <c r="C138" s="407">
        <v>3886</v>
      </c>
      <c r="D138" s="407">
        <v>3824</v>
      </c>
      <c r="E138"/>
      <c r="F138">
        <f>Summary!C7</f>
        <v>0</v>
      </c>
      <c r="H138" s="806"/>
      <c r="I138" s="408" t="s">
        <v>395</v>
      </c>
      <c r="J138" s="405" t="s">
        <v>332</v>
      </c>
      <c r="K138" s="405" t="s">
        <v>380</v>
      </c>
      <c r="L138" s="405" t="s">
        <v>332</v>
      </c>
      <c r="M138" s="409" t="str">
        <f t="shared" si="11"/>
        <v>Air Source Air Conditioner ≥240,000 to ≤300,000 Btu/h</v>
      </c>
      <c r="N138"/>
      <c r="O138"/>
      <c r="V138" s="375" t="s">
        <v>399</v>
      </c>
      <c r="W138" s="374">
        <v>1.28</v>
      </c>
      <c r="X138" s="81"/>
      <c r="Y138" s="81"/>
      <c r="Z138" s="81"/>
      <c r="AA138" s="81"/>
      <c r="AB138" s="81"/>
      <c r="AC138" s="81"/>
    </row>
    <row r="139" spans="2:29" ht="14.25" customHeight="1">
      <c r="E139"/>
      <c r="F139"/>
      <c r="H139" s="806"/>
      <c r="I139" s="408" t="s">
        <v>400</v>
      </c>
      <c r="J139" s="405" t="s">
        <v>332</v>
      </c>
      <c r="K139" s="405" t="s">
        <v>374</v>
      </c>
      <c r="L139" s="405" t="s">
        <v>332</v>
      </c>
      <c r="M139" s="409" t="str">
        <f t="shared" si="11"/>
        <v>Water Cooled Air Conditioner &lt;65,000 Btu/h</v>
      </c>
      <c r="N139"/>
      <c r="O139"/>
    </row>
    <row r="140" spans="2:29" ht="14.4">
      <c r="E140"/>
      <c r="F140"/>
      <c r="H140" s="806"/>
      <c r="I140" s="408" t="s">
        <v>400</v>
      </c>
      <c r="J140" s="405" t="s">
        <v>332</v>
      </c>
      <c r="K140" s="405" t="s">
        <v>375</v>
      </c>
      <c r="L140" s="405" t="s">
        <v>332</v>
      </c>
      <c r="M140" s="409" t="str">
        <f t="shared" si="11"/>
        <v>Water Cooled Air Conditioner ≥65,000 to &lt;135,000 Btu/h</v>
      </c>
      <c r="N140"/>
      <c r="O140"/>
      <c r="V140" s="143" t="s">
        <v>401</v>
      </c>
      <c r="W140" s="150"/>
      <c r="X140" s="192"/>
      <c r="Y140" s="193"/>
    </row>
    <row r="141" spans="2:29" ht="14.4">
      <c r="B141" s="404" t="s">
        <v>231</v>
      </c>
      <c r="C141" s="404" t="s">
        <v>226</v>
      </c>
      <c r="E141"/>
      <c r="F141"/>
      <c r="H141" s="806"/>
      <c r="I141" s="408" t="s">
        <v>400</v>
      </c>
      <c r="J141" s="405" t="s">
        <v>332</v>
      </c>
      <c r="K141" s="405" t="s">
        <v>377</v>
      </c>
      <c r="L141" s="405" t="s">
        <v>332</v>
      </c>
      <c r="M141" s="409" t="str">
        <f t="shared" si="11"/>
        <v>Water Cooled Air Conditioner ≥135,000 to &lt;240,000 Btu/h</v>
      </c>
      <c r="N141"/>
      <c r="O141"/>
      <c r="V141" s="194"/>
      <c r="W141" s="195" t="s">
        <v>402</v>
      </c>
      <c r="X141" s="196">
        <v>100000</v>
      </c>
      <c r="Y141" s="197" t="s">
        <v>403</v>
      </c>
    </row>
    <row r="142" spans="2:29" ht="14.4">
      <c r="B142" s="410" t="s">
        <v>404</v>
      </c>
      <c r="C142" s="410" t="s">
        <v>405</v>
      </c>
      <c r="E142"/>
      <c r="F142"/>
      <c r="H142" s="806"/>
      <c r="I142" s="408" t="s">
        <v>400</v>
      </c>
      <c r="J142" s="405" t="s">
        <v>332</v>
      </c>
      <c r="K142" s="405" t="s">
        <v>380</v>
      </c>
      <c r="L142" s="405" t="s">
        <v>332</v>
      </c>
      <c r="M142" s="409" t="str">
        <f t="shared" si="11"/>
        <v>Water Cooled Air Conditioner ≥240,000 to ≤300,000 Btu/h</v>
      </c>
      <c r="N142"/>
      <c r="O142"/>
      <c r="V142" s="194"/>
      <c r="W142" s="195" t="s">
        <v>406</v>
      </c>
      <c r="X142" s="196">
        <v>3413</v>
      </c>
      <c r="Y142" s="197" t="s">
        <v>403</v>
      </c>
    </row>
    <row r="143" spans="2:29" ht="14.4">
      <c r="B143" s="23">
        <v>19701</v>
      </c>
      <c r="C143" s="23">
        <v>19901</v>
      </c>
      <c r="E143"/>
      <c r="F143"/>
      <c r="H143" s="806"/>
      <c r="I143" s="408" t="s">
        <v>373</v>
      </c>
      <c r="J143" s="405" t="s">
        <v>332</v>
      </c>
      <c r="K143" s="405" t="s">
        <v>374</v>
      </c>
      <c r="L143" s="405" t="s">
        <v>332</v>
      </c>
      <c r="M143" s="409" t="str">
        <f t="shared" si="11"/>
        <v>Air Source Heat Pump &lt;65,000 Btu/h</v>
      </c>
      <c r="N143"/>
      <c r="O143"/>
    </row>
    <row r="144" spans="2:29" ht="14.4">
      <c r="B144" s="411">
        <v>19702</v>
      </c>
      <c r="C144" s="411">
        <v>19902</v>
      </c>
      <c r="E144"/>
      <c r="F144"/>
      <c r="H144" s="806"/>
      <c r="I144" s="408" t="s">
        <v>373</v>
      </c>
      <c r="J144" s="405" t="s">
        <v>332</v>
      </c>
      <c r="K144" s="405" t="s">
        <v>375</v>
      </c>
      <c r="L144" s="405" t="s">
        <v>332</v>
      </c>
      <c r="M144" s="409" t="str">
        <f t="shared" si="11"/>
        <v>Air Source Heat Pump ≥65,000 to &lt;135,000 Btu/h</v>
      </c>
      <c r="N144"/>
      <c r="O144"/>
    </row>
    <row r="145" spans="2:26" ht="14.4">
      <c r="B145" s="411">
        <v>19703</v>
      </c>
      <c r="C145" s="411">
        <v>19903</v>
      </c>
      <c r="E145"/>
      <c r="F145"/>
      <c r="H145" s="806"/>
      <c r="I145" s="408" t="s">
        <v>373</v>
      </c>
      <c r="J145" s="405" t="s">
        <v>332</v>
      </c>
      <c r="K145" s="405" t="s">
        <v>377</v>
      </c>
      <c r="L145" s="405" t="s">
        <v>332</v>
      </c>
      <c r="M145" s="409" t="str">
        <f t="shared" si="11"/>
        <v>Air Source Heat Pump ≥135,000 to &lt;240,000 Btu/h</v>
      </c>
      <c r="N145"/>
      <c r="O145"/>
      <c r="V145" s="188" t="s">
        <v>407</v>
      </c>
      <c r="W145" s="188" t="s">
        <v>408</v>
      </c>
      <c r="Y145" s="829" t="s">
        <v>409</v>
      </c>
      <c r="Z145" s="830"/>
    </row>
    <row r="146" spans="2:26" ht="14.4">
      <c r="B146" s="411">
        <v>19706</v>
      </c>
      <c r="C146" s="411">
        <v>19904</v>
      </c>
      <c r="E146"/>
      <c r="F146"/>
      <c r="H146" s="806"/>
      <c r="I146" s="408" t="s">
        <v>373</v>
      </c>
      <c r="J146" s="405" t="s">
        <v>332</v>
      </c>
      <c r="K146" s="405" t="s">
        <v>380</v>
      </c>
      <c r="L146" s="405" t="s">
        <v>332</v>
      </c>
      <c r="M146" s="409" t="str">
        <f t="shared" si="11"/>
        <v>Air Source Heat Pump ≥240,000 to ≤300,000 Btu/h</v>
      </c>
      <c r="N146"/>
      <c r="O146"/>
      <c r="V146" s="375" t="s">
        <v>216</v>
      </c>
      <c r="W146" s="374">
        <v>0.90700000000000003</v>
      </c>
      <c r="Y146" s="12" t="s">
        <v>410</v>
      </c>
      <c r="Z146" s="12" t="s">
        <v>411</v>
      </c>
    </row>
    <row r="147" spans="2:26" ht="14.4">
      <c r="B147" s="411">
        <v>19707</v>
      </c>
      <c r="C147" s="411">
        <v>19905</v>
      </c>
      <c r="E147"/>
      <c r="F147"/>
      <c r="H147" s="806"/>
      <c r="I147" s="405" t="s">
        <v>216</v>
      </c>
      <c r="J147" s="405" t="s">
        <v>332</v>
      </c>
      <c r="K147" s="405" t="s">
        <v>374</v>
      </c>
      <c r="L147" s="405" t="s">
        <v>332</v>
      </c>
      <c r="M147" s="409" t="str">
        <f t="shared" si="11"/>
        <v>None &lt;65,000 Btu/h</v>
      </c>
      <c r="N147"/>
      <c r="O147"/>
      <c r="V147" s="375" t="s">
        <v>412</v>
      </c>
      <c r="W147" s="374">
        <v>0.58899999999999997</v>
      </c>
      <c r="X147" s="375" t="s">
        <v>412</v>
      </c>
      <c r="Y147" s="374">
        <v>0.25</v>
      </c>
      <c r="Z147" s="374">
        <v>0.21</v>
      </c>
    </row>
    <row r="148" spans="2:26" ht="14.4">
      <c r="B148" s="411">
        <v>19708</v>
      </c>
      <c r="C148" s="411">
        <v>19906</v>
      </c>
      <c r="E148"/>
      <c r="F148"/>
      <c r="H148" s="806"/>
      <c r="I148" s="405" t="s">
        <v>216</v>
      </c>
      <c r="J148" s="405" t="s">
        <v>332</v>
      </c>
      <c r="K148" s="405" t="s">
        <v>375</v>
      </c>
      <c r="L148" s="405" t="s">
        <v>332</v>
      </c>
      <c r="M148" s="409" t="str">
        <f t="shared" si="11"/>
        <v>None ≥65,000 to &lt;135,000 Btu/h</v>
      </c>
      <c r="N148"/>
      <c r="O148"/>
      <c r="V148" s="375" t="s">
        <v>413</v>
      </c>
      <c r="W148" s="374">
        <v>0.42799999999999999</v>
      </c>
      <c r="X148" s="375" t="s">
        <v>413</v>
      </c>
      <c r="Y148" s="374">
        <v>0.36</v>
      </c>
      <c r="Z148" s="374">
        <v>0.3</v>
      </c>
    </row>
    <row r="149" spans="2:26" ht="14.4">
      <c r="B149" s="411">
        <v>19709</v>
      </c>
      <c r="C149" s="411">
        <v>19934</v>
      </c>
      <c r="E149"/>
      <c r="F149"/>
      <c r="H149" s="806"/>
      <c r="I149" s="405" t="s">
        <v>216</v>
      </c>
      <c r="J149" s="405" t="s">
        <v>332</v>
      </c>
      <c r="K149" s="405" t="s">
        <v>377</v>
      </c>
      <c r="L149" s="405" t="s">
        <v>332</v>
      </c>
      <c r="M149" s="409" t="str">
        <f t="shared" si="11"/>
        <v>None ≥135,000 to &lt;240,000 Btu/h</v>
      </c>
      <c r="N149"/>
      <c r="O149"/>
    </row>
    <row r="150" spans="2:26" ht="14.4">
      <c r="B150" s="411">
        <v>19710</v>
      </c>
      <c r="C150" s="411">
        <v>19936</v>
      </c>
      <c r="E150"/>
      <c r="F150"/>
      <c r="H150" s="807"/>
      <c r="I150" s="405" t="s">
        <v>216</v>
      </c>
      <c r="J150" s="405" t="s">
        <v>332</v>
      </c>
      <c r="K150" s="405" t="s">
        <v>380</v>
      </c>
      <c r="L150" s="405" t="s">
        <v>332</v>
      </c>
      <c r="M150" s="409" t="str">
        <f t="shared" si="11"/>
        <v>None ≥240,000 to ≤300,000 Btu/h</v>
      </c>
      <c r="N150"/>
      <c r="O150"/>
      <c r="V150" s="188" t="s">
        <v>414</v>
      </c>
      <c r="W150" s="188" t="s">
        <v>415</v>
      </c>
    </row>
    <row r="151" spans="2:26" ht="14.4">
      <c r="B151" s="411">
        <v>19711</v>
      </c>
      <c r="C151" s="411">
        <v>19938</v>
      </c>
      <c r="E151"/>
      <c r="F151"/>
      <c r="I151" s="12"/>
      <c r="J151" s="12"/>
      <c r="K151" s="12"/>
      <c r="L151" s="12"/>
      <c r="M151" s="12"/>
      <c r="N151" s="12"/>
      <c r="O151" s="12"/>
      <c r="P151" s="12"/>
      <c r="Q151" s="12"/>
      <c r="R151" s="12"/>
      <c r="S151" s="12"/>
      <c r="V151" s="375" t="s">
        <v>410</v>
      </c>
      <c r="W151" s="374">
        <v>1.25</v>
      </c>
    </row>
    <row r="152" spans="2:26" ht="14.4">
      <c r="B152" s="411">
        <v>19712</v>
      </c>
      <c r="C152" s="411">
        <v>19943</v>
      </c>
      <c r="D152" s="823" t="s">
        <v>416</v>
      </c>
      <c r="E152" s="824"/>
      <c r="F152" s="824"/>
      <c r="H152"/>
      <c r="I152"/>
      <c r="V152" s="375" t="s">
        <v>411</v>
      </c>
      <c r="W152" s="374">
        <v>1.5</v>
      </c>
    </row>
    <row r="153" spans="2:26" ht="14.4">
      <c r="B153" s="411">
        <v>19713</v>
      </c>
      <c r="C153" s="411">
        <v>19946</v>
      </c>
      <c r="D153" s="823"/>
      <c r="E153" s="824"/>
      <c r="F153" s="824"/>
      <c r="H153"/>
      <c r="I153"/>
      <c r="V153" s="375"/>
    </row>
    <row r="154" spans="2:26" ht="14.4">
      <c r="B154" s="411">
        <v>19714</v>
      </c>
      <c r="C154" s="411">
        <v>19952</v>
      </c>
      <c r="D154" s="823"/>
      <c r="E154" s="824"/>
      <c r="F154" s="824"/>
      <c r="H154"/>
      <c r="I154"/>
      <c r="J154"/>
      <c r="K154"/>
    </row>
    <row r="155" spans="2:26" ht="14.25" customHeight="1">
      <c r="B155" s="411">
        <v>19715</v>
      </c>
      <c r="C155" s="411">
        <v>19953</v>
      </c>
      <c r="E155"/>
      <c r="F155"/>
      <c r="G155"/>
      <c r="H155"/>
      <c r="I155"/>
      <c r="J155"/>
      <c r="K155"/>
      <c r="V155" s="188" t="s">
        <v>417</v>
      </c>
      <c r="W155" s="188" t="s">
        <v>418</v>
      </c>
      <c r="X155" s="188" t="s">
        <v>419</v>
      </c>
    </row>
    <row r="156" spans="2:26" ht="14.25" customHeight="1">
      <c r="B156" s="411">
        <v>19716</v>
      </c>
      <c r="C156" s="411">
        <v>19954</v>
      </c>
      <c r="E156"/>
      <c r="F156"/>
      <c r="G156"/>
      <c r="H156"/>
      <c r="I156"/>
      <c r="J156"/>
      <c r="K156"/>
      <c r="V156" s="375" t="s">
        <v>420</v>
      </c>
      <c r="W156" s="374">
        <v>27.3</v>
      </c>
      <c r="X156" s="374">
        <v>1.928E-3</v>
      </c>
    </row>
    <row r="157" spans="2:26" ht="14.4">
      <c r="B157" s="411">
        <v>19717</v>
      </c>
      <c r="C157" s="411">
        <v>19955</v>
      </c>
      <c r="E157"/>
      <c r="F157"/>
      <c r="G157"/>
      <c r="H157"/>
      <c r="I157"/>
      <c r="J157"/>
      <c r="K157"/>
      <c r="V157" s="375" t="s">
        <v>421</v>
      </c>
      <c r="W157" s="374">
        <v>18.2</v>
      </c>
      <c r="X157" s="374">
        <v>8.2899999999999998E-4</v>
      </c>
    </row>
    <row r="158" spans="2:26" ht="14.4">
      <c r="B158" s="411">
        <v>19718</v>
      </c>
      <c r="C158" s="411">
        <v>19961</v>
      </c>
      <c r="E158"/>
      <c r="F158"/>
      <c r="G158"/>
      <c r="H158"/>
      <c r="I158"/>
      <c r="J158"/>
      <c r="K158"/>
      <c r="V158" s="375" t="s">
        <v>422</v>
      </c>
      <c r="W158" s="374">
        <v>33.1</v>
      </c>
      <c r="X158" s="374">
        <v>1.9109999999999999E-3</v>
      </c>
    </row>
    <row r="159" spans="2:26" ht="14.4">
      <c r="B159" s="411">
        <v>19720</v>
      </c>
      <c r="C159" s="411">
        <v>19962</v>
      </c>
      <c r="E159"/>
      <c r="F159"/>
      <c r="G159"/>
      <c r="H159"/>
      <c r="I159"/>
      <c r="J159"/>
      <c r="K159"/>
      <c r="V159" s="375" t="s">
        <v>423</v>
      </c>
      <c r="W159" s="374">
        <v>18</v>
      </c>
      <c r="X159" s="374">
        <v>8.2200000000000003E-4</v>
      </c>
    </row>
    <row r="160" spans="2:26" ht="14.4">
      <c r="B160" s="411">
        <v>19721</v>
      </c>
      <c r="C160" s="411">
        <v>19964</v>
      </c>
      <c r="E160"/>
      <c r="F160"/>
      <c r="G160"/>
      <c r="H160"/>
      <c r="I160"/>
      <c r="J160"/>
      <c r="K160"/>
    </row>
    <row r="161" spans="2:11" ht="14.4">
      <c r="B161" s="411">
        <v>19725</v>
      </c>
      <c r="C161" s="411">
        <v>19977</v>
      </c>
      <c r="E161"/>
      <c r="F161"/>
      <c r="G161"/>
      <c r="H161"/>
      <c r="I161"/>
      <c r="J161"/>
      <c r="K161"/>
    </row>
    <row r="162" spans="2:11" ht="14.4">
      <c r="B162" s="411">
        <v>19726</v>
      </c>
      <c r="C162" s="411">
        <v>19979</v>
      </c>
      <c r="E162"/>
      <c r="F162"/>
      <c r="G162"/>
    </row>
    <row r="163" spans="2:11" ht="14.4">
      <c r="B163" s="411">
        <v>19730</v>
      </c>
      <c r="C163" s="411">
        <v>19980</v>
      </c>
      <c r="E163"/>
      <c r="F163"/>
    </row>
    <row r="164" spans="2:11" ht="14.4">
      <c r="B164" s="411">
        <v>19731</v>
      </c>
      <c r="C164" s="412" t="s">
        <v>424</v>
      </c>
      <c r="E164"/>
      <c r="F164"/>
    </row>
    <row r="165" spans="2:11" ht="14.4">
      <c r="B165" s="411">
        <v>19732</v>
      </c>
      <c r="C165" s="23">
        <v>19930</v>
      </c>
      <c r="E165"/>
      <c r="F165"/>
    </row>
    <row r="166" spans="2:11" ht="14.4">
      <c r="B166" s="411">
        <v>19733</v>
      </c>
      <c r="C166" s="411">
        <v>19931</v>
      </c>
      <c r="E166"/>
      <c r="F166"/>
    </row>
    <row r="167" spans="2:11" ht="14.4">
      <c r="B167" s="411">
        <v>19734</v>
      </c>
      <c r="C167" s="411">
        <v>19933</v>
      </c>
      <c r="E167"/>
      <c r="F167"/>
    </row>
    <row r="168" spans="2:11" ht="14.4">
      <c r="B168" s="411">
        <v>19735</v>
      </c>
      <c r="C168" s="411">
        <v>19939</v>
      </c>
      <c r="E168"/>
      <c r="F168"/>
    </row>
    <row r="169" spans="2:11" ht="14.4">
      <c r="B169" s="411">
        <v>19736</v>
      </c>
      <c r="C169" s="411">
        <v>19940</v>
      </c>
      <c r="E169"/>
      <c r="F169"/>
    </row>
    <row r="170" spans="2:11" ht="14.4">
      <c r="B170" s="411">
        <v>19801</v>
      </c>
      <c r="C170" s="411">
        <v>19941</v>
      </c>
      <c r="E170"/>
      <c r="F170"/>
    </row>
    <row r="171" spans="2:11" ht="14.4">
      <c r="B171" s="411">
        <v>19802</v>
      </c>
      <c r="C171" s="411">
        <v>19944</v>
      </c>
      <c r="E171"/>
      <c r="F171"/>
    </row>
    <row r="172" spans="2:11" ht="14.4">
      <c r="B172" s="411">
        <v>19803</v>
      </c>
      <c r="C172" s="411">
        <v>19945</v>
      </c>
      <c r="E172"/>
      <c r="F172"/>
    </row>
    <row r="173" spans="2:11" ht="14.4">
      <c r="B173" s="411">
        <v>19804</v>
      </c>
      <c r="C173" s="411">
        <v>19947</v>
      </c>
      <c r="E173"/>
      <c r="F173"/>
    </row>
    <row r="174" spans="2:11" ht="14.4">
      <c r="B174" s="411">
        <v>19805</v>
      </c>
      <c r="C174" s="411">
        <v>19950</v>
      </c>
      <c r="E174"/>
      <c r="F174"/>
      <c r="G174" s="1"/>
    </row>
    <row r="175" spans="2:11" ht="14.4">
      <c r="B175" s="411">
        <v>19806</v>
      </c>
      <c r="C175" s="411">
        <v>19951</v>
      </c>
      <c r="E175"/>
      <c r="F175"/>
    </row>
    <row r="176" spans="2:11" ht="14.4">
      <c r="B176" s="411">
        <v>19807</v>
      </c>
      <c r="C176" s="411">
        <v>19956</v>
      </c>
      <c r="E176"/>
      <c r="F176"/>
    </row>
    <row r="177" spans="2:6" ht="14.4">
      <c r="B177" s="411">
        <v>19808</v>
      </c>
      <c r="C177" s="411">
        <v>19958</v>
      </c>
      <c r="E177"/>
      <c r="F177"/>
    </row>
    <row r="178" spans="2:6" ht="14.4">
      <c r="B178" s="411">
        <v>19809</v>
      </c>
      <c r="C178" s="411">
        <v>19960</v>
      </c>
      <c r="E178"/>
      <c r="F178"/>
    </row>
    <row r="179" spans="2:6" ht="14.4">
      <c r="B179" s="411">
        <v>19810</v>
      </c>
      <c r="C179" s="411">
        <v>19963</v>
      </c>
      <c r="E179"/>
      <c r="F179"/>
    </row>
    <row r="180" spans="2:6" ht="14.4">
      <c r="B180" s="411">
        <v>19850</v>
      </c>
      <c r="C180" s="411">
        <v>19966</v>
      </c>
      <c r="E180"/>
      <c r="F180"/>
    </row>
    <row r="181" spans="2:6" ht="14.4">
      <c r="B181" s="411">
        <v>19880</v>
      </c>
      <c r="C181" s="411">
        <v>19967</v>
      </c>
      <c r="E181"/>
      <c r="F181"/>
    </row>
    <row r="182" spans="2:6" ht="14.4">
      <c r="B182" s="411">
        <v>19884</v>
      </c>
      <c r="C182" s="411">
        <v>19968</v>
      </c>
      <c r="E182"/>
      <c r="F182"/>
    </row>
    <row r="183" spans="2:6" ht="14.4">
      <c r="B183" s="411">
        <v>19885</v>
      </c>
      <c r="C183" s="411">
        <v>19969</v>
      </c>
      <c r="E183"/>
      <c r="F183"/>
    </row>
    <row r="184" spans="2:6" ht="14.4">
      <c r="B184" s="411">
        <v>19886</v>
      </c>
      <c r="C184" s="411">
        <v>19970</v>
      </c>
      <c r="E184"/>
      <c r="F184"/>
    </row>
    <row r="185" spans="2:6" ht="14.4">
      <c r="B185" s="411">
        <v>19887</v>
      </c>
      <c r="C185" s="411">
        <v>19971</v>
      </c>
      <c r="E185"/>
      <c r="F185"/>
    </row>
    <row r="186" spans="2:6" ht="14.4">
      <c r="B186" s="411">
        <v>19889</v>
      </c>
      <c r="C186" s="411">
        <v>19973</v>
      </c>
      <c r="E186"/>
      <c r="F186"/>
    </row>
    <row r="187" spans="2:6" ht="14.4">
      <c r="B187" s="411">
        <v>19890</v>
      </c>
      <c r="C187" s="411">
        <v>19975</v>
      </c>
      <c r="E187"/>
      <c r="F187"/>
    </row>
    <row r="188" spans="2:6" ht="14.4">
      <c r="B188" s="411">
        <v>19891</v>
      </c>
      <c r="C188" s="24"/>
      <c r="E188"/>
      <c r="F188"/>
    </row>
    <row r="189" spans="2:6" ht="14.4">
      <c r="B189" s="411">
        <v>19892</v>
      </c>
      <c r="C189" s="24"/>
      <c r="E189"/>
      <c r="F189"/>
    </row>
    <row r="190" spans="2:6" ht="14.4">
      <c r="B190" s="411">
        <v>19893</v>
      </c>
      <c r="C190" s="24"/>
      <c r="E190"/>
      <c r="F190"/>
    </row>
    <row r="191" spans="2:6" ht="14.4">
      <c r="B191" s="411">
        <v>19894</v>
      </c>
      <c r="C191" s="24"/>
      <c r="E191"/>
      <c r="F191"/>
    </row>
    <row r="192" spans="2:6" ht="14.4">
      <c r="B192" s="411">
        <v>19895</v>
      </c>
      <c r="C192" s="24"/>
      <c r="E192"/>
      <c r="F192"/>
    </row>
    <row r="193" spans="2:6" ht="14.4">
      <c r="B193" s="411">
        <v>19896</v>
      </c>
      <c r="C193" s="24"/>
      <c r="E193"/>
      <c r="F193"/>
    </row>
    <row r="194" spans="2:6" ht="14.4">
      <c r="B194" s="411">
        <v>19897</v>
      </c>
      <c r="C194" s="24"/>
      <c r="E194"/>
      <c r="F194"/>
    </row>
    <row r="195" spans="2:6" ht="14.4">
      <c r="B195" s="411">
        <v>19898</v>
      </c>
      <c r="C195" s="24"/>
      <c r="E195"/>
      <c r="F195"/>
    </row>
    <row r="196" spans="2:6" ht="14.4">
      <c r="B196" s="411">
        <v>19899</v>
      </c>
      <c r="C196" s="24"/>
      <c r="E196"/>
      <c r="F196"/>
    </row>
    <row r="197" spans="2:6" ht="14.4">
      <c r="D197"/>
      <c r="E197"/>
      <c r="F197"/>
    </row>
    <row r="198" spans="2:6" ht="14.4">
      <c r="B198" s="368" t="s">
        <v>425</v>
      </c>
      <c r="F198"/>
    </row>
    <row r="199" spans="2:6" ht="14.4">
      <c r="B199" s="335" t="s">
        <v>426</v>
      </c>
      <c r="F199"/>
    </row>
    <row r="200" spans="2:6" ht="14.4">
      <c r="B200" s="335" t="s">
        <v>427</v>
      </c>
      <c r="F200"/>
    </row>
    <row r="201" spans="2:6" ht="14.4">
      <c r="B201" s="335" t="s">
        <v>428</v>
      </c>
      <c r="F201"/>
    </row>
    <row r="202" spans="2:6" ht="14.4">
      <c r="F202"/>
    </row>
    <row r="203" spans="2:6" ht="14.4">
      <c r="B203" s="368" t="s">
        <v>429</v>
      </c>
      <c r="C203" s="368" t="s">
        <v>430</v>
      </c>
      <c r="D203" s="368" t="s">
        <v>431</v>
      </c>
      <c r="E203" s="368" t="s">
        <v>432</v>
      </c>
      <c r="F203"/>
    </row>
    <row r="204" spans="2:6" ht="14.4">
      <c r="B204" s="335" t="s">
        <v>433</v>
      </c>
      <c r="C204" s="413">
        <v>0.05</v>
      </c>
      <c r="D204" s="413">
        <v>0.04</v>
      </c>
      <c r="E204" s="413">
        <v>0.05</v>
      </c>
      <c r="F204"/>
    </row>
    <row r="205" spans="2:6" ht="14.4">
      <c r="B205" s="335" t="s">
        <v>427</v>
      </c>
      <c r="C205" s="413">
        <v>0.03</v>
      </c>
      <c r="D205" s="413">
        <v>0.02</v>
      </c>
      <c r="E205" s="413">
        <v>0.02</v>
      </c>
      <c r="F205"/>
    </row>
    <row r="206" spans="2:6" ht="14.4">
      <c r="B206" s="335" t="s">
        <v>434</v>
      </c>
      <c r="C206" s="413">
        <v>0.03</v>
      </c>
      <c r="D206" s="413">
        <v>0.02</v>
      </c>
      <c r="E206" s="413">
        <v>0.02</v>
      </c>
      <c r="F206"/>
    </row>
    <row r="207" spans="2:6" ht="14.4">
      <c r="B207" s="32"/>
      <c r="C207" s="32"/>
      <c r="D207" s="32"/>
      <c r="E207" s="32"/>
      <c r="F207"/>
    </row>
    <row r="208" spans="2:6" ht="14.4">
      <c r="B208" s="368" t="s">
        <v>435</v>
      </c>
      <c r="C208" s="368" t="s">
        <v>436</v>
      </c>
      <c r="D208" s="32"/>
      <c r="E208" s="79"/>
      <c r="F208"/>
    </row>
    <row r="209" spans="2:13" ht="14.4">
      <c r="B209" s="335" t="s">
        <v>216</v>
      </c>
      <c r="C209" s="335" t="s">
        <v>216</v>
      </c>
      <c r="D209" s="32"/>
      <c r="E209" s="79"/>
      <c r="F209"/>
    </row>
    <row r="210" spans="2:13" ht="14.4">
      <c r="B210" s="335" t="s">
        <v>373</v>
      </c>
      <c r="C210" s="335" t="s">
        <v>373</v>
      </c>
      <c r="D210" s="32"/>
      <c r="E210" s="79"/>
      <c r="F210"/>
    </row>
    <row r="211" spans="2:13" ht="14.4">
      <c r="B211" s="335" t="s">
        <v>395</v>
      </c>
      <c r="C211" s="335" t="s">
        <v>249</v>
      </c>
      <c r="D211" s="32"/>
      <c r="E211" s="32"/>
      <c r="F211"/>
    </row>
    <row r="212" spans="2:13" ht="14.4">
      <c r="B212" s="335" t="s">
        <v>400</v>
      </c>
      <c r="C212" s="335" t="s">
        <v>388</v>
      </c>
      <c r="D212" s="32"/>
      <c r="E212" s="32"/>
      <c r="F212"/>
    </row>
    <row r="213" spans="2:13" ht="15" thickBot="1">
      <c r="D213"/>
      <c r="E213"/>
      <c r="F213"/>
    </row>
    <row r="214" spans="2:13" ht="15" thickBot="1">
      <c r="B214" s="820" t="s">
        <v>437</v>
      </c>
      <c r="C214" s="821"/>
      <c r="D214" s="822"/>
      <c r="E214" s="32"/>
      <c r="F214" s="32"/>
      <c r="G214" s="33" t="s">
        <v>438</v>
      </c>
      <c r="H214" s="34" t="s">
        <v>439</v>
      </c>
      <c r="I214" s="35" t="s">
        <v>63</v>
      </c>
      <c r="J214" s="32"/>
      <c r="K214" s="817" t="s">
        <v>440</v>
      </c>
      <c r="L214" s="818"/>
      <c r="M214" s="819"/>
    </row>
    <row r="215" spans="2:13" ht="15" thickBot="1">
      <c r="B215" s="90" t="s">
        <v>441</v>
      </c>
      <c r="C215" s="91"/>
      <c r="D215" s="92" t="s">
        <v>442</v>
      </c>
      <c r="E215" s="32"/>
      <c r="F215" s="32"/>
      <c r="G215" s="36">
        <v>2</v>
      </c>
      <c r="H215" s="37">
        <v>500</v>
      </c>
      <c r="I215" s="38" t="s">
        <v>443</v>
      </c>
      <c r="J215" s="32"/>
      <c r="K215" s="39" t="s">
        <v>444</v>
      </c>
      <c r="L215" s="40" t="s">
        <v>445</v>
      </c>
      <c r="M215" s="41" t="s">
        <v>446</v>
      </c>
    </row>
    <row r="216" spans="2:13" ht="15" thickBot="1">
      <c r="B216" s="42" t="s">
        <v>447</v>
      </c>
      <c r="C216" s="43" t="s">
        <v>448</v>
      </c>
      <c r="D216" s="93"/>
      <c r="E216" s="31"/>
      <c r="F216" s="32"/>
      <c r="G216" s="44">
        <v>3</v>
      </c>
      <c r="H216" s="414">
        <v>600</v>
      </c>
      <c r="I216" s="45" t="s">
        <v>443</v>
      </c>
      <c r="J216" s="32"/>
      <c r="K216" s="46" t="s">
        <v>449</v>
      </c>
      <c r="L216" s="47">
        <v>0.63300000000000001</v>
      </c>
      <c r="M216" s="48">
        <v>0.46</v>
      </c>
    </row>
    <row r="217" spans="2:13" ht="15" thickBot="1">
      <c r="B217" s="49">
        <v>0</v>
      </c>
      <c r="C217" s="50">
        <v>10</v>
      </c>
      <c r="D217" s="51">
        <v>0</v>
      </c>
      <c r="E217" s="32"/>
      <c r="F217" s="32"/>
      <c r="G217" s="44">
        <v>4</v>
      </c>
      <c r="H217" s="414">
        <v>700</v>
      </c>
      <c r="I217" s="45" t="s">
        <v>443</v>
      </c>
      <c r="J217" s="32"/>
      <c r="K217" s="52" t="s">
        <v>450</v>
      </c>
      <c r="L217" s="53">
        <v>0.65200000000000002</v>
      </c>
      <c r="M217" s="54">
        <v>0</v>
      </c>
    </row>
    <row r="218" spans="2:13" ht="14.4">
      <c r="B218" s="58">
        <v>10</v>
      </c>
      <c r="C218" s="415">
        <v>20</v>
      </c>
      <c r="D218" s="59">
        <v>0.01</v>
      </c>
      <c r="E218" s="32"/>
      <c r="F218" s="32"/>
      <c r="G218" s="44">
        <v>5</v>
      </c>
      <c r="H218" s="414">
        <v>800</v>
      </c>
      <c r="I218" s="45" t="s">
        <v>443</v>
      </c>
      <c r="J218" s="32"/>
      <c r="K218" s="60" t="s">
        <v>451</v>
      </c>
      <c r="L218" s="32"/>
      <c r="M218" s="32"/>
    </row>
    <row r="219" spans="2:13" ht="14.4">
      <c r="B219" s="58">
        <v>20</v>
      </c>
      <c r="C219" s="415">
        <v>30</v>
      </c>
      <c r="D219" s="59">
        <v>5.5E-2</v>
      </c>
      <c r="E219" s="32"/>
      <c r="F219" s="32"/>
      <c r="G219" s="44">
        <v>7.5</v>
      </c>
      <c r="H219" s="414">
        <v>900</v>
      </c>
      <c r="I219" s="45" t="s">
        <v>443</v>
      </c>
      <c r="J219" s="32"/>
      <c r="K219" s="32"/>
      <c r="L219" s="32"/>
      <c r="M219" s="32"/>
    </row>
    <row r="220" spans="2:13" ht="14.4">
      <c r="B220" s="58">
        <v>30</v>
      </c>
      <c r="C220" s="415">
        <v>40</v>
      </c>
      <c r="D220" s="59">
        <v>0.155</v>
      </c>
      <c r="E220" s="32"/>
      <c r="F220" s="32"/>
      <c r="G220" s="44">
        <v>10</v>
      </c>
      <c r="H220" s="414">
        <v>1100</v>
      </c>
      <c r="I220" s="45" t="s">
        <v>443</v>
      </c>
      <c r="J220" s="32"/>
      <c r="K220" s="32"/>
      <c r="L220" s="32"/>
      <c r="M220" s="32"/>
    </row>
    <row r="221" spans="2:13" ht="14.4">
      <c r="B221" s="58">
        <v>40</v>
      </c>
      <c r="C221" s="415">
        <v>50</v>
      </c>
      <c r="D221" s="59">
        <v>0.22</v>
      </c>
      <c r="E221" s="32"/>
      <c r="F221" s="32"/>
      <c r="G221" s="44">
        <v>15</v>
      </c>
      <c r="H221" s="414">
        <v>1350</v>
      </c>
      <c r="I221" s="45" t="s">
        <v>443</v>
      </c>
      <c r="J221" s="32"/>
      <c r="K221" s="65" t="s">
        <v>452</v>
      </c>
      <c r="L221" s="32"/>
      <c r="M221" s="32"/>
    </row>
    <row r="222" spans="2:13" ht="14.4">
      <c r="B222" s="58">
        <v>50</v>
      </c>
      <c r="C222" s="415">
        <v>60</v>
      </c>
      <c r="D222" s="59">
        <v>0.25</v>
      </c>
      <c r="E222" s="32"/>
      <c r="F222" s="32"/>
      <c r="G222" s="44">
        <v>20</v>
      </c>
      <c r="H222" s="414">
        <v>1500</v>
      </c>
      <c r="I222" s="45" t="s">
        <v>443</v>
      </c>
      <c r="J222" s="32"/>
      <c r="K222" s="32" t="s">
        <v>453</v>
      </c>
      <c r="L222" s="32"/>
      <c r="M222" s="32"/>
    </row>
    <row r="223" spans="2:13" ht="14.4">
      <c r="B223" s="58">
        <v>60</v>
      </c>
      <c r="C223" s="415">
        <v>70</v>
      </c>
      <c r="D223" s="59">
        <v>0.19</v>
      </c>
      <c r="E223" s="32"/>
      <c r="F223" s="32"/>
      <c r="G223" s="44">
        <v>25</v>
      </c>
      <c r="H223" s="414">
        <v>1600</v>
      </c>
      <c r="I223" s="45" t="s">
        <v>443</v>
      </c>
      <c r="J223" s="32"/>
      <c r="K223" s="32" t="s">
        <v>449</v>
      </c>
      <c r="L223" s="32"/>
      <c r="M223" s="32"/>
    </row>
    <row r="224" spans="2:13" ht="14.4">
      <c r="B224" s="58">
        <v>70</v>
      </c>
      <c r="C224" s="415">
        <v>80</v>
      </c>
      <c r="D224" s="59">
        <v>8.5000000000000006E-2</v>
      </c>
      <c r="E224" s="32"/>
      <c r="F224" s="32"/>
      <c r="G224" s="44">
        <v>30</v>
      </c>
      <c r="H224" s="414">
        <v>1800</v>
      </c>
      <c r="I224" s="45" t="s">
        <v>443</v>
      </c>
      <c r="J224" s="32"/>
      <c r="K224" s="32" t="s">
        <v>454</v>
      </c>
      <c r="L224" s="32"/>
      <c r="M224" s="32"/>
    </row>
    <row r="225" spans="2:22" ht="15" thickBot="1">
      <c r="B225" s="58">
        <v>80</v>
      </c>
      <c r="C225" s="415">
        <v>90</v>
      </c>
      <c r="D225" s="59">
        <v>0.03</v>
      </c>
      <c r="E225" s="32"/>
      <c r="F225" s="32"/>
      <c r="G225" s="44">
        <v>40</v>
      </c>
      <c r="H225" s="414">
        <v>2000</v>
      </c>
      <c r="I225" s="45" t="s">
        <v>443</v>
      </c>
      <c r="J225" s="32"/>
      <c r="K225" s="32"/>
      <c r="L225" s="32"/>
      <c r="M225" s="32"/>
    </row>
    <row r="226" spans="2:22" ht="15" thickBot="1">
      <c r="B226" s="66">
        <v>90</v>
      </c>
      <c r="C226" s="67">
        <v>100</v>
      </c>
      <c r="D226" s="68">
        <v>5.0000000000000001E-3</v>
      </c>
      <c r="E226" s="32"/>
      <c r="F226" s="32"/>
      <c r="G226" s="44">
        <v>50</v>
      </c>
      <c r="H226" s="414">
        <v>2500</v>
      </c>
      <c r="I226" s="45" t="s">
        <v>443</v>
      </c>
      <c r="J226" s="32"/>
      <c r="K226" s="820" t="s">
        <v>455</v>
      </c>
      <c r="L226" s="821"/>
      <c r="M226" s="821"/>
      <c r="N226" s="821"/>
      <c r="O226" s="821"/>
      <c r="P226" s="821"/>
      <c r="Q226" s="821"/>
      <c r="R226" s="821"/>
      <c r="S226" s="821"/>
      <c r="T226" s="821"/>
      <c r="U226" s="822"/>
      <c r="V226" s="32"/>
    </row>
    <row r="227" spans="2:22" ht="14.4">
      <c r="B227" s="60" t="s">
        <v>456</v>
      </c>
      <c r="C227" s="32"/>
      <c r="D227" s="32"/>
      <c r="E227" s="32"/>
      <c r="F227" s="32"/>
      <c r="G227" s="44">
        <v>60</v>
      </c>
      <c r="H227" s="414">
        <v>3000</v>
      </c>
      <c r="I227" s="45" t="s">
        <v>443</v>
      </c>
      <c r="J227" s="32"/>
      <c r="K227" s="86" t="s">
        <v>282</v>
      </c>
      <c r="L227" s="88" t="s">
        <v>457</v>
      </c>
      <c r="M227" s="89"/>
      <c r="N227" s="89"/>
      <c r="O227" s="89"/>
      <c r="P227" s="89"/>
      <c r="Q227" s="89"/>
      <c r="R227" s="89"/>
      <c r="S227" s="89"/>
      <c r="T227" s="89"/>
      <c r="U227" s="137"/>
      <c r="V227" s="798" t="s">
        <v>458</v>
      </c>
    </row>
    <row r="228" spans="2:22" ht="15" thickBot="1">
      <c r="B228" s="32"/>
      <c r="C228" s="32"/>
      <c r="D228" s="32"/>
      <c r="E228" s="32"/>
      <c r="F228" s="32"/>
      <c r="G228" s="44">
        <v>75</v>
      </c>
      <c r="H228" s="414">
        <v>3750</v>
      </c>
      <c r="I228" s="45" t="s">
        <v>443</v>
      </c>
      <c r="J228" s="32"/>
      <c r="K228" s="87"/>
      <c r="L228" s="416">
        <v>0.1</v>
      </c>
      <c r="M228" s="416">
        <v>0.2</v>
      </c>
      <c r="N228" s="416">
        <v>0.3</v>
      </c>
      <c r="O228" s="416">
        <v>0.4</v>
      </c>
      <c r="P228" s="416">
        <v>0.5</v>
      </c>
      <c r="Q228" s="416">
        <v>0.6</v>
      </c>
      <c r="R228" s="416">
        <v>0.7</v>
      </c>
      <c r="S228" s="416">
        <v>0.8</v>
      </c>
      <c r="T228" s="417">
        <v>0.9</v>
      </c>
      <c r="U228" s="332">
        <v>1</v>
      </c>
      <c r="V228" s="798"/>
    </row>
    <row r="229" spans="2:22" ht="29.4" thickBot="1">
      <c r="B229" s="32"/>
      <c r="C229" s="32"/>
      <c r="D229" s="32"/>
      <c r="E229" s="32"/>
      <c r="F229" s="32"/>
      <c r="G229" s="44">
        <v>100</v>
      </c>
      <c r="H229" s="414">
        <v>5000</v>
      </c>
      <c r="I229" s="45" t="s">
        <v>443</v>
      </c>
      <c r="J229" s="32"/>
      <c r="K229" s="55" t="s">
        <v>442</v>
      </c>
      <c r="L229" s="56">
        <f>D217</f>
        <v>0</v>
      </c>
      <c r="M229" s="56">
        <f>D218</f>
        <v>0.01</v>
      </c>
      <c r="N229" s="56">
        <f>D219</f>
        <v>5.5E-2</v>
      </c>
      <c r="O229" s="56">
        <f>D220</f>
        <v>0.155</v>
      </c>
      <c r="P229" s="56">
        <f>D221</f>
        <v>0.22</v>
      </c>
      <c r="Q229" s="56">
        <f>D222</f>
        <v>0.25</v>
      </c>
      <c r="R229" s="56">
        <f>D223</f>
        <v>0.19</v>
      </c>
      <c r="S229" s="56">
        <f>D224</f>
        <v>8.5000000000000006E-2</v>
      </c>
      <c r="T229" s="57">
        <f>D225</f>
        <v>0.03</v>
      </c>
      <c r="U229" s="138">
        <f>D226</f>
        <v>5.0000000000000001E-3</v>
      </c>
      <c r="V229" s="798"/>
    </row>
    <row r="230" spans="2:22" ht="45.75" customHeight="1" thickBot="1">
      <c r="B230" s="814" t="s">
        <v>459</v>
      </c>
      <c r="C230" s="815"/>
      <c r="D230" s="815"/>
      <c r="E230" s="816"/>
      <c r="F230" s="32"/>
      <c r="G230" s="71" t="s">
        <v>460</v>
      </c>
      <c r="H230" s="72">
        <v>50</v>
      </c>
      <c r="I230" s="73" t="s">
        <v>461</v>
      </c>
      <c r="J230" s="32"/>
      <c r="K230" s="61" t="s">
        <v>462</v>
      </c>
      <c r="L230" s="62">
        <v>1</v>
      </c>
      <c r="M230" s="62">
        <v>1</v>
      </c>
      <c r="N230" s="62">
        <v>1</v>
      </c>
      <c r="O230" s="62">
        <v>1</v>
      </c>
      <c r="P230" s="62">
        <v>1</v>
      </c>
      <c r="Q230" s="62">
        <v>1</v>
      </c>
      <c r="R230" s="62">
        <v>1</v>
      </c>
      <c r="S230" s="62">
        <v>1</v>
      </c>
      <c r="T230" s="63">
        <v>1</v>
      </c>
      <c r="U230" s="139">
        <v>1</v>
      </c>
      <c r="V230" s="418">
        <f>SUMPRODUCT(FlowFraction,NoControl)</f>
        <v>0.99999999999999989</v>
      </c>
    </row>
    <row r="231" spans="2:22" ht="29.4" thickBot="1">
      <c r="B231" s="74" t="s">
        <v>269</v>
      </c>
      <c r="C231" s="75" t="s">
        <v>463</v>
      </c>
      <c r="D231" s="75" t="s">
        <v>464</v>
      </c>
      <c r="E231" s="93" t="s">
        <v>465</v>
      </c>
      <c r="F231" s="32"/>
      <c r="G231" s="32"/>
      <c r="H231" s="32"/>
      <c r="I231" s="32"/>
      <c r="J231" s="32"/>
      <c r="K231" s="64" t="s">
        <v>466</v>
      </c>
      <c r="L231" s="419">
        <v>0.46</v>
      </c>
      <c r="M231" s="419">
        <v>0.55000000000000004</v>
      </c>
      <c r="N231" s="419">
        <v>0.63</v>
      </c>
      <c r="O231" s="419">
        <v>0.7</v>
      </c>
      <c r="P231" s="419">
        <v>0.77</v>
      </c>
      <c r="Q231" s="419">
        <v>0.83</v>
      </c>
      <c r="R231" s="419">
        <v>0.88</v>
      </c>
      <c r="S231" s="419">
        <v>0.93</v>
      </c>
      <c r="T231" s="420">
        <v>0.97</v>
      </c>
      <c r="U231" s="333">
        <v>1</v>
      </c>
      <c r="V231" s="418">
        <f>SUMPRODUCT(FlowFraction,DischargeDamper)</f>
        <v>0.80590000000000006</v>
      </c>
    </row>
    <row r="232" spans="2:22" ht="14.4">
      <c r="B232" s="61" t="s">
        <v>467</v>
      </c>
      <c r="C232" s="62">
        <v>4056</v>
      </c>
      <c r="D232" s="62">
        <v>1878</v>
      </c>
      <c r="E232" s="76">
        <v>5376</v>
      </c>
      <c r="F232" s="32"/>
      <c r="G232" s="32"/>
      <c r="H232" s="32"/>
      <c r="I232" s="32"/>
      <c r="J232" s="32"/>
      <c r="K232" s="64" t="s">
        <v>468</v>
      </c>
      <c r="L232" s="419">
        <v>0.53</v>
      </c>
      <c r="M232" s="419">
        <v>0.53</v>
      </c>
      <c r="N232" s="419">
        <v>0.56999999999999995</v>
      </c>
      <c r="O232" s="419">
        <v>0.64</v>
      </c>
      <c r="P232" s="419">
        <v>0.72</v>
      </c>
      <c r="Q232" s="419">
        <v>0.8</v>
      </c>
      <c r="R232" s="419">
        <v>0.89</v>
      </c>
      <c r="S232" s="419">
        <v>0.96</v>
      </c>
      <c r="T232" s="420">
        <v>1.02</v>
      </c>
      <c r="U232" s="333">
        <v>1.05</v>
      </c>
      <c r="V232" s="418">
        <f>SUMPRODUCT(FlowFraction,OutletDamper)</f>
        <v>0.78079999999999994</v>
      </c>
    </row>
    <row r="233" spans="2:22" ht="14.4">
      <c r="B233" s="64" t="s">
        <v>469</v>
      </c>
      <c r="C233" s="419">
        <v>2854</v>
      </c>
      <c r="D233" s="419">
        <v>1445</v>
      </c>
      <c r="E233" s="77">
        <v>5376</v>
      </c>
      <c r="F233" s="32"/>
      <c r="G233" s="32"/>
      <c r="H233" s="32"/>
      <c r="I233" s="32"/>
      <c r="J233" s="32"/>
      <c r="K233" s="64" t="s">
        <v>470</v>
      </c>
      <c r="L233" s="419">
        <v>0.56000000000000005</v>
      </c>
      <c r="M233" s="419">
        <v>0.6</v>
      </c>
      <c r="N233" s="419">
        <v>0.62</v>
      </c>
      <c r="O233" s="419">
        <v>0.64</v>
      </c>
      <c r="P233" s="419">
        <v>0.66</v>
      </c>
      <c r="Q233" s="419">
        <v>0.69</v>
      </c>
      <c r="R233" s="419">
        <v>0.74</v>
      </c>
      <c r="S233" s="419">
        <v>0.81</v>
      </c>
      <c r="T233" s="420">
        <v>0.92</v>
      </c>
      <c r="U233" s="333">
        <v>1.07</v>
      </c>
      <c r="V233" s="418">
        <f>SUMPRODUCT(FlowFraction,InletDamper)</f>
        <v>0.6993999999999998</v>
      </c>
    </row>
    <row r="234" spans="2:22" ht="14.4">
      <c r="B234" s="64" t="s">
        <v>471</v>
      </c>
      <c r="C234" s="419">
        <v>3748</v>
      </c>
      <c r="D234" s="419">
        <v>1767</v>
      </c>
      <c r="E234" s="77">
        <v>5376</v>
      </c>
      <c r="F234" s="32"/>
      <c r="G234" s="32"/>
      <c r="H234" s="32"/>
      <c r="I234" s="32"/>
      <c r="J234" s="32"/>
      <c r="K234" s="64" t="s">
        <v>472</v>
      </c>
      <c r="L234" s="419">
        <v>0.53</v>
      </c>
      <c r="M234" s="419">
        <v>0.56000000000000005</v>
      </c>
      <c r="N234" s="419">
        <v>0.56999999999999995</v>
      </c>
      <c r="O234" s="419">
        <v>0.59</v>
      </c>
      <c r="P234" s="419">
        <v>0.6</v>
      </c>
      <c r="Q234" s="419">
        <v>0.62</v>
      </c>
      <c r="R234" s="419">
        <v>0.67</v>
      </c>
      <c r="S234" s="419">
        <v>0.74</v>
      </c>
      <c r="T234" s="420">
        <v>0.85</v>
      </c>
      <c r="U234" s="333">
        <v>1</v>
      </c>
      <c r="V234" s="418">
        <f>SUMPRODUCT(FlowFraction,InletGuideVane)</f>
        <v>0.63609999999999989</v>
      </c>
    </row>
    <row r="235" spans="2:22" ht="14.4">
      <c r="B235" s="64" t="s">
        <v>473</v>
      </c>
      <c r="C235" s="419">
        <v>1955</v>
      </c>
      <c r="D235" s="419">
        <v>1121</v>
      </c>
      <c r="E235" s="77">
        <v>5376</v>
      </c>
      <c r="F235" s="32"/>
      <c r="G235" s="32"/>
      <c r="H235" s="32"/>
      <c r="I235" s="32"/>
      <c r="J235" s="32"/>
      <c r="K235" s="64" t="s">
        <v>474</v>
      </c>
      <c r="L235" s="419">
        <v>0.38</v>
      </c>
      <c r="M235" s="419">
        <v>0.4</v>
      </c>
      <c r="N235" s="419">
        <v>0.42</v>
      </c>
      <c r="O235" s="419">
        <v>0.44</v>
      </c>
      <c r="P235" s="419">
        <v>0.48</v>
      </c>
      <c r="Q235" s="419">
        <v>0.53</v>
      </c>
      <c r="R235" s="419">
        <v>0.6</v>
      </c>
      <c r="S235" s="419">
        <v>0.7</v>
      </c>
      <c r="T235" s="420">
        <v>0.83</v>
      </c>
      <c r="U235" s="333">
        <v>0.99</v>
      </c>
      <c r="V235" s="418">
        <f>SUMPRODUCT(FlowFraction,InletVaneDamper)</f>
        <v>0.53675000000000006</v>
      </c>
    </row>
    <row r="236" spans="2:22" ht="14.4">
      <c r="B236" s="64" t="s">
        <v>475</v>
      </c>
      <c r="C236" s="419">
        <v>6376</v>
      </c>
      <c r="D236" s="419">
        <v>2713</v>
      </c>
      <c r="E236" s="77">
        <v>5376</v>
      </c>
      <c r="F236" s="32"/>
      <c r="G236" s="32"/>
      <c r="H236" s="32"/>
      <c r="I236" s="32"/>
      <c r="J236" s="32"/>
      <c r="K236" s="64" t="s">
        <v>476</v>
      </c>
      <c r="L236" s="419">
        <v>0.22</v>
      </c>
      <c r="M236" s="419">
        <v>0.26</v>
      </c>
      <c r="N236" s="419">
        <v>0.3</v>
      </c>
      <c r="O236" s="419">
        <v>0.37</v>
      </c>
      <c r="P236" s="419">
        <v>0.45</v>
      </c>
      <c r="Q236" s="419">
        <v>0.54</v>
      </c>
      <c r="R236" s="419">
        <v>0.65</v>
      </c>
      <c r="S236" s="419">
        <v>0.77</v>
      </c>
      <c r="T236" s="420">
        <v>0.91</v>
      </c>
      <c r="U236" s="333">
        <v>1.06</v>
      </c>
      <c r="V236" s="418">
        <f>SUMPRODUCT(FlowFraction,OutletDamperFCFans)</f>
        <v>0.53200000000000003</v>
      </c>
    </row>
    <row r="237" spans="2:22" ht="14.4">
      <c r="B237" s="64" t="s">
        <v>477</v>
      </c>
      <c r="C237" s="419">
        <v>2586</v>
      </c>
      <c r="D237" s="419">
        <v>1348</v>
      </c>
      <c r="E237" s="77">
        <v>5376</v>
      </c>
      <c r="F237" s="32"/>
      <c r="G237" s="32"/>
      <c r="H237" s="32"/>
      <c r="I237" s="32"/>
      <c r="J237" s="32"/>
      <c r="K237" s="64" t="s">
        <v>478</v>
      </c>
      <c r="L237" s="419">
        <v>0.17</v>
      </c>
      <c r="M237" s="419">
        <v>0.2</v>
      </c>
      <c r="N237" s="419">
        <v>0.25</v>
      </c>
      <c r="O237" s="419">
        <v>0.32</v>
      </c>
      <c r="P237" s="419">
        <v>0.41</v>
      </c>
      <c r="Q237" s="419">
        <v>0.51</v>
      </c>
      <c r="R237" s="419">
        <v>0.63</v>
      </c>
      <c r="S237" s="419">
        <v>0.76</v>
      </c>
      <c r="T237" s="420">
        <v>0.9</v>
      </c>
      <c r="U237" s="333">
        <v>1.04</v>
      </c>
      <c r="V237" s="418">
        <f>SUMPRODUCT(FlowFraction,EddyCurrentDrives)</f>
        <v>0.49954999999999994</v>
      </c>
    </row>
    <row r="238" spans="2:22" ht="14.4">
      <c r="B238" s="64" t="s">
        <v>479</v>
      </c>
      <c r="C238" s="419">
        <v>3066</v>
      </c>
      <c r="D238" s="419">
        <v>1521</v>
      </c>
      <c r="E238" s="77">
        <v>5376</v>
      </c>
      <c r="F238" s="32"/>
      <c r="G238" s="32"/>
      <c r="H238" s="32"/>
      <c r="I238" s="32"/>
      <c r="J238" s="32"/>
      <c r="K238" s="64" t="s">
        <v>480</v>
      </c>
      <c r="L238" s="419">
        <v>0.21</v>
      </c>
      <c r="M238" s="419">
        <v>0.22</v>
      </c>
      <c r="N238" s="419">
        <v>0.23</v>
      </c>
      <c r="O238" s="419">
        <v>0.26</v>
      </c>
      <c r="P238" s="419">
        <v>0.31</v>
      </c>
      <c r="Q238" s="419">
        <v>0.39</v>
      </c>
      <c r="R238" s="419">
        <v>0.49</v>
      </c>
      <c r="S238" s="419">
        <v>0.63</v>
      </c>
      <c r="T238" s="420">
        <v>0.81</v>
      </c>
      <c r="U238" s="333">
        <v>1.04</v>
      </c>
      <c r="V238" s="418">
        <f>SUMPRODUCT(FlowFraction,InletGuideVaneFCFan)</f>
        <v>0.39699999999999996</v>
      </c>
    </row>
    <row r="239" spans="2:22" ht="14.4">
      <c r="B239" s="64" t="s">
        <v>481</v>
      </c>
      <c r="C239" s="419">
        <v>4055</v>
      </c>
      <c r="D239" s="419">
        <v>1877</v>
      </c>
      <c r="E239" s="77">
        <v>5376</v>
      </c>
      <c r="F239" s="32"/>
      <c r="G239" s="32"/>
      <c r="H239" s="32"/>
      <c r="I239" s="32"/>
      <c r="J239" s="32"/>
      <c r="K239" s="64" t="s">
        <v>482</v>
      </c>
      <c r="L239" s="419">
        <v>0.09</v>
      </c>
      <c r="M239" s="419">
        <v>0.1</v>
      </c>
      <c r="N239" s="419">
        <v>0.11</v>
      </c>
      <c r="O239" s="419">
        <v>0.15</v>
      </c>
      <c r="P239" s="419">
        <v>0.2</v>
      </c>
      <c r="Q239" s="419">
        <v>0.28999999999999998</v>
      </c>
      <c r="R239" s="419">
        <v>0.41</v>
      </c>
      <c r="S239" s="419">
        <v>0.56999999999999995</v>
      </c>
      <c r="T239" s="420">
        <v>0.76</v>
      </c>
      <c r="U239" s="333">
        <v>1.01</v>
      </c>
      <c r="V239" s="418">
        <f>SUMPRODUCT(FlowFraction,VFDDuctStaticPressure)</f>
        <v>0.30099999999999999</v>
      </c>
    </row>
    <row r="240" spans="2:22" ht="15" thickBot="1">
      <c r="B240" s="64" t="s">
        <v>483</v>
      </c>
      <c r="C240" s="419">
        <v>6376</v>
      </c>
      <c r="D240" s="419">
        <v>2713</v>
      </c>
      <c r="E240" s="77">
        <v>5376</v>
      </c>
      <c r="F240" s="32"/>
      <c r="G240" s="32"/>
      <c r="H240" s="32"/>
      <c r="I240" s="32"/>
      <c r="J240" s="32"/>
      <c r="K240" s="69" t="s">
        <v>484</v>
      </c>
      <c r="L240" s="70">
        <v>0.05</v>
      </c>
      <c r="M240" s="70">
        <v>0.06</v>
      </c>
      <c r="N240" s="70">
        <v>0.09</v>
      </c>
      <c r="O240" s="70">
        <v>0.12</v>
      </c>
      <c r="P240" s="70">
        <v>0.18</v>
      </c>
      <c r="Q240" s="70">
        <v>0.27</v>
      </c>
      <c r="R240" s="70">
        <v>0.39</v>
      </c>
      <c r="S240" s="70">
        <v>0.55000000000000004</v>
      </c>
      <c r="T240" s="334">
        <v>0.75</v>
      </c>
      <c r="U240" s="140">
        <v>1</v>
      </c>
      <c r="V240" s="418">
        <f>SUMPRODUCT(FlowFraction,VFDLowDuctStaticPressure)</f>
        <v>0.27960000000000002</v>
      </c>
    </row>
    <row r="241" spans="1:28" ht="14.4">
      <c r="B241" s="64" t="s">
        <v>485</v>
      </c>
      <c r="C241" s="419">
        <v>1954</v>
      </c>
      <c r="D241" s="419">
        <v>1121</v>
      </c>
      <c r="E241" s="77">
        <v>5376</v>
      </c>
      <c r="F241" s="32"/>
      <c r="G241" s="32"/>
      <c r="H241" s="32"/>
      <c r="I241" s="32"/>
      <c r="J241" s="32"/>
      <c r="K241" s="60" t="s">
        <v>486</v>
      </c>
      <c r="L241" s="32"/>
      <c r="M241" s="32"/>
      <c r="N241" s="32"/>
      <c r="O241" s="32"/>
      <c r="P241" s="32"/>
      <c r="Q241" s="32"/>
      <c r="R241" s="32"/>
      <c r="S241" s="32"/>
      <c r="T241" s="32"/>
      <c r="U241" s="141"/>
      <c r="V241" s="32"/>
    </row>
    <row r="242" spans="1:28" ht="14.4">
      <c r="B242" s="64" t="s">
        <v>487</v>
      </c>
      <c r="C242" s="419">
        <v>3748</v>
      </c>
      <c r="D242" s="419">
        <v>1767</v>
      </c>
      <c r="E242" s="77">
        <v>5376</v>
      </c>
      <c r="F242" s="32"/>
      <c r="G242" s="32"/>
      <c r="H242" s="32"/>
      <c r="I242" s="32"/>
      <c r="J242" s="32"/>
      <c r="K242" s="32"/>
      <c r="L242" s="32"/>
      <c r="M242" s="32"/>
      <c r="N242" s="32"/>
      <c r="O242" s="32"/>
      <c r="P242" s="32"/>
      <c r="Q242" s="32"/>
      <c r="R242" s="32"/>
      <c r="S242" s="32"/>
      <c r="T242" s="32"/>
      <c r="U242" s="141"/>
      <c r="V242" s="32"/>
    </row>
    <row r="243" spans="1:28" ht="14.4">
      <c r="B243" s="64" t="s">
        <v>488</v>
      </c>
      <c r="C243" s="419">
        <v>4182</v>
      </c>
      <c r="D243" s="419">
        <v>1923</v>
      </c>
      <c r="E243" s="77">
        <v>5376</v>
      </c>
      <c r="F243" s="32"/>
      <c r="G243" s="32"/>
      <c r="H243" s="32"/>
      <c r="I243" s="32"/>
      <c r="J243" s="32"/>
      <c r="K243" s="65" t="s">
        <v>489</v>
      </c>
      <c r="L243" s="65" t="s">
        <v>490</v>
      </c>
      <c r="M243" s="65"/>
      <c r="N243" s="65"/>
      <c r="O243" s="32"/>
      <c r="P243" s="32"/>
      <c r="Q243" s="32"/>
      <c r="R243" s="32"/>
      <c r="S243" s="32"/>
      <c r="T243" s="32"/>
      <c r="U243" s="141"/>
      <c r="V243" s="32"/>
    </row>
    <row r="244" spans="1:28" ht="14.4">
      <c r="B244" s="64" t="s">
        <v>491</v>
      </c>
      <c r="C244" s="419">
        <v>6456</v>
      </c>
      <c r="D244" s="419">
        <v>2742</v>
      </c>
      <c r="E244" s="77">
        <v>5376</v>
      </c>
      <c r="F244" s="32"/>
      <c r="G244" s="32"/>
      <c r="H244" s="32"/>
      <c r="I244" s="32"/>
      <c r="J244" s="32"/>
      <c r="K244" s="419" t="s">
        <v>453</v>
      </c>
      <c r="L244" s="420" t="s">
        <v>453</v>
      </c>
      <c r="M244" s="421"/>
      <c r="N244" s="421"/>
      <c r="O244" s="421"/>
      <c r="P244" s="421"/>
      <c r="Q244" s="422"/>
      <c r="R244" s="32"/>
      <c r="S244" s="32"/>
      <c r="T244" s="32"/>
      <c r="U244" s="141"/>
      <c r="V244" s="32"/>
    </row>
    <row r="245" spans="1:28" ht="14.4">
      <c r="B245" s="64" t="s">
        <v>492</v>
      </c>
      <c r="C245" s="419">
        <v>4182</v>
      </c>
      <c r="D245" s="419">
        <v>1923</v>
      </c>
      <c r="E245" s="77">
        <v>5376</v>
      </c>
      <c r="F245" s="32"/>
      <c r="G245" s="32"/>
      <c r="H245" s="32"/>
      <c r="I245" s="32"/>
      <c r="J245" s="32"/>
      <c r="K245" s="419" t="s">
        <v>449</v>
      </c>
      <c r="L245" s="420" t="s">
        <v>449</v>
      </c>
      <c r="M245" s="421"/>
      <c r="N245" s="421"/>
      <c r="O245" s="421"/>
      <c r="P245" s="421"/>
      <c r="Q245" s="422"/>
      <c r="R245" s="32"/>
      <c r="S245" s="32"/>
      <c r="T245" s="32"/>
      <c r="U245" s="141"/>
      <c r="V245" s="32"/>
    </row>
    <row r="246" spans="1:28" ht="14.4">
      <c r="A246" s="32"/>
      <c r="B246" s="64" t="s">
        <v>493</v>
      </c>
      <c r="C246" s="419">
        <v>1952</v>
      </c>
      <c r="D246" s="419">
        <v>1120</v>
      </c>
      <c r="E246" s="77">
        <v>5376</v>
      </c>
      <c r="F246" s="32"/>
      <c r="G246" s="32"/>
      <c r="H246" s="32"/>
      <c r="I246" s="32"/>
      <c r="J246" s="32"/>
      <c r="K246" s="419" t="s">
        <v>454</v>
      </c>
      <c r="L246" s="420" t="s">
        <v>450</v>
      </c>
      <c r="M246" s="421"/>
      <c r="N246" s="421"/>
      <c r="O246" s="421"/>
      <c r="P246" s="421"/>
      <c r="Q246" s="422"/>
      <c r="R246" s="32"/>
      <c r="S246" s="32"/>
      <c r="T246" s="32"/>
      <c r="U246" s="141"/>
      <c r="V246" s="32"/>
    </row>
    <row r="247" spans="1:28" ht="14.4">
      <c r="A247"/>
      <c r="B247" s="64" t="s">
        <v>494</v>
      </c>
      <c r="C247" s="419">
        <v>5836</v>
      </c>
      <c r="D247" s="419">
        <v>2518</v>
      </c>
      <c r="E247" s="77">
        <v>5376</v>
      </c>
      <c r="F247" s="32"/>
      <c r="G247" s="32"/>
      <c r="H247" s="32"/>
      <c r="I247" s="32"/>
      <c r="J247" s="32"/>
      <c r="K247" s="419" t="s">
        <v>462</v>
      </c>
      <c r="L247" s="420" t="s">
        <v>495</v>
      </c>
      <c r="M247" s="421"/>
      <c r="N247" s="421"/>
      <c r="O247" s="421"/>
      <c r="P247" s="421"/>
      <c r="Q247" s="422"/>
      <c r="R247" s="32"/>
      <c r="S247" s="32"/>
      <c r="T247" s="32"/>
      <c r="U247" s="141"/>
      <c r="V247" s="32"/>
    </row>
    <row r="248" spans="1:28" ht="14.4">
      <c r="A248"/>
      <c r="B248" s="64" t="s">
        <v>496</v>
      </c>
      <c r="C248" s="419">
        <v>6376</v>
      </c>
      <c r="D248" s="419">
        <v>2713</v>
      </c>
      <c r="E248" s="77">
        <v>5376</v>
      </c>
      <c r="F248" s="32"/>
      <c r="G248" s="32"/>
      <c r="H248" s="32"/>
      <c r="I248" s="32"/>
      <c r="J248" s="32"/>
      <c r="K248" s="419" t="s">
        <v>466</v>
      </c>
      <c r="L248" s="420" t="s">
        <v>497</v>
      </c>
      <c r="M248" s="421"/>
      <c r="N248" s="421"/>
      <c r="O248" s="421"/>
      <c r="P248" s="421"/>
      <c r="Q248" s="422"/>
      <c r="R248" s="32"/>
      <c r="S248" s="32"/>
      <c r="T248" s="32"/>
      <c r="U248" s="141"/>
      <c r="V248" s="32"/>
    </row>
    <row r="249" spans="1:28" ht="14.4">
      <c r="B249" s="64" t="s">
        <v>498</v>
      </c>
      <c r="C249" s="419">
        <v>1953</v>
      </c>
      <c r="D249" s="419">
        <v>1121</v>
      </c>
      <c r="E249" s="77">
        <v>5376</v>
      </c>
      <c r="F249" s="32"/>
      <c r="G249" s="32"/>
      <c r="H249" s="32"/>
      <c r="I249" s="32"/>
      <c r="J249" s="32"/>
      <c r="K249" s="419" t="s">
        <v>468</v>
      </c>
      <c r="L249" s="420" t="s">
        <v>499</v>
      </c>
      <c r="M249" s="421"/>
      <c r="N249" s="421"/>
      <c r="O249" s="421"/>
      <c r="P249" s="421"/>
      <c r="Q249" s="422"/>
      <c r="R249" s="32"/>
      <c r="S249" s="32"/>
      <c r="T249" s="32"/>
      <c r="U249" s="141"/>
      <c r="V249" s="32"/>
    </row>
    <row r="250" spans="1:28" ht="14.4">
      <c r="B250" s="64" t="s">
        <v>500</v>
      </c>
      <c r="C250" s="419">
        <v>4055</v>
      </c>
      <c r="D250" s="419">
        <v>1877</v>
      </c>
      <c r="E250" s="77">
        <v>5376</v>
      </c>
      <c r="F250" s="32"/>
      <c r="G250" s="32"/>
      <c r="H250" s="32"/>
      <c r="I250" s="32"/>
      <c r="J250" s="32"/>
      <c r="K250" s="419" t="s">
        <v>470</v>
      </c>
      <c r="L250" s="420" t="s">
        <v>470</v>
      </c>
      <c r="M250" s="421"/>
      <c r="N250" s="421"/>
      <c r="O250" s="421"/>
      <c r="P250" s="421"/>
      <c r="Q250" s="422"/>
      <c r="R250" s="32"/>
      <c r="S250" s="32"/>
      <c r="T250" s="32"/>
      <c r="U250" s="141"/>
      <c r="V250" s="32"/>
      <c r="Z250" s="32"/>
      <c r="AA250" s="32"/>
      <c r="AB250" s="32"/>
    </row>
    <row r="251" spans="1:28" ht="14.4">
      <c r="B251" s="64" t="s">
        <v>501</v>
      </c>
      <c r="C251" s="419">
        <v>2586</v>
      </c>
      <c r="D251" s="419">
        <v>1348</v>
      </c>
      <c r="E251" s="77">
        <v>5376</v>
      </c>
      <c r="F251" s="32"/>
      <c r="G251" s="32"/>
      <c r="H251" s="32"/>
      <c r="I251" s="32"/>
      <c r="J251" s="32"/>
      <c r="K251" s="419" t="s">
        <v>472</v>
      </c>
      <c r="L251" s="420" t="s">
        <v>502</v>
      </c>
      <c r="M251" s="421"/>
      <c r="N251" s="421"/>
      <c r="O251" s="421"/>
      <c r="P251" s="421"/>
      <c r="Q251" s="422"/>
      <c r="R251" s="32"/>
      <c r="S251" s="32"/>
      <c r="T251" s="32"/>
      <c r="U251" s="141"/>
      <c r="V251" s="32"/>
      <c r="Z251" s="32"/>
      <c r="AA251" s="32"/>
      <c r="AB251" s="32"/>
    </row>
    <row r="252" spans="1:28" ht="15.75" customHeight="1">
      <c r="B252" s="64" t="s">
        <v>503</v>
      </c>
      <c r="C252" s="419">
        <v>7674</v>
      </c>
      <c r="D252" s="419">
        <v>3180</v>
      </c>
      <c r="E252" s="77">
        <v>8760</v>
      </c>
      <c r="F252" s="32"/>
      <c r="G252" s="32"/>
      <c r="H252" s="32"/>
      <c r="I252" s="32"/>
      <c r="J252" s="32"/>
      <c r="K252" s="419" t="s">
        <v>474</v>
      </c>
      <c r="L252" s="420" t="s">
        <v>474</v>
      </c>
      <c r="M252" s="421"/>
      <c r="N252" s="421"/>
      <c r="O252" s="421"/>
      <c r="P252" s="421"/>
      <c r="Q252" s="422"/>
      <c r="R252" s="32"/>
      <c r="S252" s="32"/>
      <c r="T252" s="32"/>
      <c r="U252" s="141"/>
      <c r="V252" s="32"/>
      <c r="Z252" s="32"/>
      <c r="AA252" s="32"/>
      <c r="AB252" s="32"/>
    </row>
    <row r="253" spans="1:28" ht="15.75" customHeight="1">
      <c r="B253" s="64" t="s">
        <v>504</v>
      </c>
      <c r="C253" s="419">
        <v>7666</v>
      </c>
      <c r="D253" s="419">
        <v>1377</v>
      </c>
      <c r="E253" s="77">
        <v>8760</v>
      </c>
      <c r="F253" s="32"/>
      <c r="G253" s="32"/>
      <c r="H253" s="32"/>
      <c r="I253" s="32"/>
      <c r="J253" s="32"/>
      <c r="K253" s="419" t="s">
        <v>476</v>
      </c>
      <c r="L253" s="420" t="s">
        <v>505</v>
      </c>
      <c r="M253" s="421"/>
      <c r="N253" s="421"/>
      <c r="O253" s="421"/>
      <c r="P253" s="421"/>
      <c r="Q253" s="422"/>
      <c r="R253" s="32"/>
      <c r="S253" s="32"/>
      <c r="T253" s="32"/>
      <c r="U253" s="141"/>
      <c r="V253" s="32"/>
      <c r="Z253" s="32"/>
      <c r="AA253" s="32"/>
      <c r="AB253" s="32"/>
    </row>
    <row r="254" spans="1:28" ht="15.75" customHeight="1">
      <c r="B254" s="64" t="s">
        <v>506</v>
      </c>
      <c r="C254" s="419">
        <v>2857</v>
      </c>
      <c r="D254" s="419">
        <v>1446</v>
      </c>
      <c r="E254" s="77">
        <v>5376</v>
      </c>
      <c r="F254" s="32"/>
      <c r="G254" s="32"/>
      <c r="H254" s="32"/>
      <c r="I254" s="32"/>
      <c r="J254" s="32"/>
      <c r="K254" s="419" t="s">
        <v>478</v>
      </c>
      <c r="L254" s="420" t="s">
        <v>507</v>
      </c>
      <c r="M254" s="421"/>
      <c r="N254" s="421"/>
      <c r="O254" s="421"/>
      <c r="P254" s="421"/>
      <c r="Q254" s="422"/>
      <c r="R254" s="32"/>
      <c r="S254" s="32"/>
      <c r="T254" s="32"/>
      <c r="U254" s="141"/>
      <c r="V254" s="32"/>
      <c r="Z254" s="32"/>
      <c r="AA254" s="32"/>
      <c r="AB254" s="32"/>
    </row>
    <row r="255" spans="1:28" ht="14.4">
      <c r="B255" s="64" t="s">
        <v>508</v>
      </c>
      <c r="C255" s="419">
        <v>4730</v>
      </c>
      <c r="D255" s="419">
        <v>2120</v>
      </c>
      <c r="E255" s="77">
        <v>5376</v>
      </c>
      <c r="F255" s="32"/>
      <c r="G255" s="32"/>
      <c r="H255" s="32"/>
      <c r="I255" s="32"/>
      <c r="J255" s="32"/>
      <c r="K255" s="419" t="s">
        <v>480</v>
      </c>
      <c r="L255" s="420" t="s">
        <v>509</v>
      </c>
      <c r="M255" s="421"/>
      <c r="N255" s="421"/>
      <c r="O255" s="421"/>
      <c r="P255" s="421"/>
      <c r="Q255" s="422"/>
      <c r="R255" s="32"/>
      <c r="S255" s="32"/>
      <c r="T255" s="32"/>
      <c r="U255" s="141"/>
      <c r="V255" s="32"/>
      <c r="Z255" s="32"/>
      <c r="AA255" s="32"/>
      <c r="AB255" s="32"/>
    </row>
    <row r="256" spans="1:28" ht="14.4">
      <c r="B256" s="64" t="s">
        <v>510</v>
      </c>
      <c r="C256" s="419">
        <v>6631</v>
      </c>
      <c r="D256" s="419">
        <v>2805</v>
      </c>
      <c r="E256" s="77">
        <v>5376</v>
      </c>
      <c r="F256" s="32"/>
      <c r="G256" s="32"/>
      <c r="H256" s="32"/>
      <c r="I256" s="32"/>
      <c r="J256" s="32"/>
      <c r="K256" s="419" t="s">
        <v>482</v>
      </c>
      <c r="L256" s="800" t="s">
        <v>482</v>
      </c>
      <c r="M256" s="801"/>
      <c r="N256" s="801"/>
      <c r="O256" s="801"/>
      <c r="P256" s="801"/>
      <c r="Q256" s="802"/>
      <c r="R256" s="32"/>
      <c r="S256" s="32"/>
      <c r="T256" s="32"/>
      <c r="U256" s="141"/>
      <c r="V256" s="32"/>
      <c r="Z256" s="32"/>
      <c r="AA256" s="32"/>
      <c r="AB256" s="32"/>
    </row>
    <row r="257" spans="2:28" ht="14.4">
      <c r="B257" s="64" t="s">
        <v>511</v>
      </c>
      <c r="C257" s="419">
        <v>4056</v>
      </c>
      <c r="D257" s="419">
        <v>1878</v>
      </c>
      <c r="E257" s="77">
        <v>5376</v>
      </c>
      <c r="F257" s="32"/>
      <c r="G257" s="32"/>
      <c r="H257" s="32"/>
      <c r="I257" s="32"/>
      <c r="J257" s="32"/>
      <c r="K257" s="419" t="s">
        <v>484</v>
      </c>
      <c r="L257" s="800" t="s">
        <v>484</v>
      </c>
      <c r="M257" s="801"/>
      <c r="N257" s="801"/>
      <c r="O257" s="801"/>
      <c r="P257" s="801"/>
      <c r="Q257" s="802"/>
      <c r="R257" s="32"/>
      <c r="S257" s="32"/>
      <c r="T257" s="32"/>
      <c r="U257" s="141"/>
      <c r="V257" s="32"/>
      <c r="Z257" s="32"/>
      <c r="AA257" s="32"/>
      <c r="AB257" s="32"/>
    </row>
    <row r="258" spans="2:28" ht="14.4">
      <c r="B258" s="64" t="s">
        <v>512</v>
      </c>
      <c r="C258" s="419">
        <v>3748</v>
      </c>
      <c r="D258" s="419">
        <v>1767</v>
      </c>
      <c r="E258" s="77">
        <v>5376</v>
      </c>
      <c r="F258" s="32"/>
      <c r="G258" s="32"/>
      <c r="H258" s="32"/>
      <c r="I258" s="32"/>
      <c r="J258" s="32"/>
      <c r="K258" s="32"/>
      <c r="L258" s="32"/>
      <c r="M258" s="32"/>
      <c r="Z258" s="32"/>
      <c r="AA258" s="32"/>
      <c r="AB258" s="32"/>
    </row>
    <row r="259" spans="2:28" ht="14.4">
      <c r="B259" s="64" t="s">
        <v>513</v>
      </c>
      <c r="C259" s="419">
        <v>2857</v>
      </c>
      <c r="D259" s="419">
        <v>1446</v>
      </c>
      <c r="E259" s="77">
        <v>5376</v>
      </c>
      <c r="F259" s="32"/>
      <c r="G259" s="32"/>
      <c r="H259" s="32"/>
      <c r="I259" s="32"/>
      <c r="J259" s="32"/>
      <c r="K259" s="32"/>
      <c r="L259" s="32"/>
      <c r="M259" s="32"/>
      <c r="Z259" s="32"/>
      <c r="AA259" s="32"/>
      <c r="AB259" s="32"/>
    </row>
    <row r="260" spans="2:28" ht="14.4">
      <c r="B260" s="64" t="s">
        <v>514</v>
      </c>
      <c r="C260" s="419">
        <v>3064</v>
      </c>
      <c r="D260" s="419">
        <v>1521</v>
      </c>
      <c r="E260" s="77">
        <v>5942</v>
      </c>
      <c r="F260" s="32"/>
      <c r="G260" s="32"/>
      <c r="H260" s="32"/>
      <c r="I260" s="32"/>
      <c r="J260" s="32"/>
      <c r="K260" s="32"/>
      <c r="L260" s="32"/>
      <c r="M260" s="32"/>
      <c r="N260" s="32"/>
      <c r="O260" s="32"/>
      <c r="P260" s="32"/>
      <c r="Q260" s="32"/>
      <c r="R260" s="32"/>
      <c r="S260" s="32"/>
      <c r="T260" s="32"/>
      <c r="U260" s="141"/>
      <c r="V260" s="32"/>
      <c r="W260" s="32"/>
      <c r="X260" s="32"/>
      <c r="Y260" s="32"/>
      <c r="Z260" s="32"/>
      <c r="AA260" s="32"/>
      <c r="AB260" s="32"/>
    </row>
    <row r="261" spans="2:28" ht="14.4">
      <c r="B261" s="64" t="s">
        <v>515</v>
      </c>
      <c r="C261" s="419">
        <v>4833</v>
      </c>
      <c r="D261" s="419">
        <v>2157</v>
      </c>
      <c r="E261" s="77">
        <v>5376</v>
      </c>
      <c r="F261" s="32"/>
      <c r="G261" s="32"/>
      <c r="H261" s="32"/>
      <c r="I261" s="32"/>
      <c r="J261" s="32"/>
      <c r="K261" s="32"/>
      <c r="L261" s="32"/>
      <c r="M261" s="32"/>
      <c r="N261" s="32"/>
      <c r="O261" s="32"/>
      <c r="P261" s="32"/>
      <c r="Q261" s="32"/>
      <c r="R261" s="32"/>
      <c r="S261" s="32"/>
      <c r="T261" s="32"/>
      <c r="U261" s="141"/>
      <c r="V261" s="32"/>
      <c r="W261" s="32"/>
      <c r="X261" s="32"/>
      <c r="Y261" s="32"/>
      <c r="Z261" s="32"/>
      <c r="AA261" s="32"/>
      <c r="AB261" s="32"/>
    </row>
    <row r="262" spans="2:28" ht="14.4">
      <c r="B262" s="64" t="s">
        <v>516</v>
      </c>
      <c r="C262" s="419">
        <v>2857</v>
      </c>
      <c r="D262" s="419">
        <v>1446</v>
      </c>
      <c r="E262" s="77">
        <v>5376</v>
      </c>
      <c r="F262" s="32"/>
      <c r="G262" s="32"/>
      <c r="H262" s="32"/>
      <c r="I262" s="32"/>
      <c r="J262" s="32"/>
      <c r="K262" s="32"/>
      <c r="L262" s="32"/>
      <c r="M262" s="32"/>
      <c r="N262" s="32"/>
      <c r="O262" s="32"/>
      <c r="P262" s="32"/>
      <c r="Q262" s="32"/>
      <c r="R262" s="32"/>
      <c r="S262" s="32"/>
      <c r="T262" s="32"/>
      <c r="U262" s="141"/>
      <c r="V262" s="32"/>
      <c r="W262" s="32"/>
      <c r="X262" s="32"/>
      <c r="Y262" s="32"/>
      <c r="Z262" s="32"/>
      <c r="AA262" s="32"/>
      <c r="AB262" s="32"/>
    </row>
    <row r="263" spans="2:28" ht="14.4">
      <c r="B263" s="64" t="s">
        <v>517</v>
      </c>
      <c r="C263" s="419">
        <v>3748</v>
      </c>
      <c r="D263" s="419">
        <v>1767</v>
      </c>
      <c r="E263" s="77">
        <v>5376</v>
      </c>
      <c r="F263" s="32"/>
      <c r="G263" s="32"/>
      <c r="H263" s="32"/>
      <c r="I263" s="32"/>
      <c r="J263" s="32"/>
      <c r="K263" s="32"/>
      <c r="L263" s="32"/>
      <c r="M263" s="32"/>
      <c r="N263" s="32"/>
      <c r="O263" s="32"/>
      <c r="P263" s="32"/>
      <c r="Q263" s="32"/>
      <c r="R263" s="32"/>
      <c r="S263" s="32"/>
      <c r="T263" s="32"/>
      <c r="U263" s="141"/>
      <c r="V263" s="32"/>
      <c r="W263" s="32"/>
      <c r="X263" s="32"/>
      <c r="Y263" s="32"/>
      <c r="Z263" s="32"/>
      <c r="AA263" s="32"/>
      <c r="AB263" s="32"/>
    </row>
    <row r="264" spans="2:28" ht="14.4">
      <c r="B264" s="64" t="s">
        <v>518</v>
      </c>
      <c r="C264" s="419">
        <v>1954</v>
      </c>
      <c r="D264" s="419">
        <v>1121</v>
      </c>
      <c r="E264" s="77">
        <v>5376</v>
      </c>
      <c r="F264" s="32"/>
      <c r="G264" s="32"/>
      <c r="H264" s="32"/>
      <c r="I264" s="32"/>
      <c r="J264" s="32"/>
      <c r="K264" s="32"/>
      <c r="L264" s="32"/>
      <c r="M264" s="32"/>
      <c r="N264" s="32"/>
      <c r="O264" s="32"/>
      <c r="P264" s="32"/>
      <c r="Q264" s="32"/>
      <c r="R264" s="32"/>
      <c r="S264" s="32"/>
      <c r="T264" s="32"/>
      <c r="U264" s="141"/>
      <c r="V264" s="32"/>
      <c r="W264" s="32"/>
      <c r="X264" s="32"/>
      <c r="Y264" s="32"/>
      <c r="Z264" s="32"/>
      <c r="AA264" s="32"/>
      <c r="AB264" s="32"/>
    </row>
    <row r="265" spans="2:28" ht="14.4">
      <c r="B265" s="64" t="s">
        <v>175</v>
      </c>
      <c r="C265" s="419">
        <v>7665</v>
      </c>
      <c r="D265" s="419">
        <v>3177</v>
      </c>
      <c r="E265" s="77">
        <v>5376</v>
      </c>
      <c r="F265" s="32"/>
      <c r="G265" s="32"/>
      <c r="H265" s="32"/>
      <c r="I265" s="32"/>
      <c r="J265" s="32"/>
      <c r="K265" s="32"/>
      <c r="L265" s="32"/>
      <c r="M265" s="32"/>
      <c r="N265" s="32"/>
      <c r="O265" s="32"/>
      <c r="P265" s="32"/>
      <c r="Q265" s="32"/>
      <c r="R265" s="32"/>
      <c r="S265" s="32"/>
      <c r="T265" s="32"/>
      <c r="U265" s="141"/>
      <c r="V265" s="32"/>
      <c r="W265" s="32"/>
      <c r="X265" s="32"/>
      <c r="Y265" s="32"/>
      <c r="Z265" s="32"/>
      <c r="AA265" s="32"/>
      <c r="AB265" s="32"/>
    </row>
    <row r="266" spans="2:28" ht="14.4">
      <c r="B266" s="64" t="s">
        <v>519</v>
      </c>
      <c r="C266" s="419">
        <v>3748</v>
      </c>
      <c r="D266" s="419">
        <v>1767</v>
      </c>
      <c r="E266" s="77">
        <v>5376</v>
      </c>
      <c r="F266" s="32"/>
      <c r="G266" s="32"/>
      <c r="H266" s="32"/>
      <c r="I266" s="32"/>
      <c r="J266" s="32"/>
      <c r="K266" s="32"/>
      <c r="L266" s="32"/>
      <c r="M266" s="32"/>
      <c r="N266" s="32"/>
      <c r="O266" s="32"/>
      <c r="P266" s="32"/>
      <c r="Q266" s="32"/>
      <c r="R266" s="32"/>
      <c r="S266" s="32"/>
      <c r="T266" s="32"/>
      <c r="U266" s="141"/>
      <c r="V266" s="32"/>
      <c r="W266" s="32"/>
      <c r="X266" s="32"/>
      <c r="Y266" s="32"/>
      <c r="Z266" s="32"/>
      <c r="AA266" s="32"/>
      <c r="AB266" s="32"/>
    </row>
    <row r="267" spans="2:28" ht="15.75" customHeight="1">
      <c r="B267" s="64" t="s">
        <v>520</v>
      </c>
      <c r="C267" s="419">
        <v>5840</v>
      </c>
      <c r="D267" s="419">
        <v>2520</v>
      </c>
      <c r="E267" s="77">
        <v>5428</v>
      </c>
      <c r="F267" s="32"/>
      <c r="G267" s="32"/>
      <c r="H267" s="32"/>
      <c r="I267" s="32"/>
      <c r="J267" s="32"/>
      <c r="K267" s="32"/>
      <c r="L267" s="32"/>
      <c r="M267" s="32"/>
      <c r="N267" s="32"/>
      <c r="O267" s="32"/>
      <c r="P267" s="32"/>
      <c r="Q267" s="32"/>
      <c r="R267" s="32"/>
      <c r="S267" s="32"/>
      <c r="T267" s="32"/>
      <c r="U267" s="141"/>
      <c r="V267" s="32"/>
      <c r="W267" s="32"/>
      <c r="X267" s="32"/>
      <c r="Y267" s="32"/>
      <c r="Z267" s="32"/>
      <c r="AA267" s="32"/>
      <c r="AB267" s="32"/>
    </row>
    <row r="268" spans="2:28" ht="14.4">
      <c r="B268" s="64" t="s">
        <v>521</v>
      </c>
      <c r="C268" s="419">
        <v>3748</v>
      </c>
      <c r="D268" s="419">
        <v>1767</v>
      </c>
      <c r="E268" s="77">
        <v>3038</v>
      </c>
      <c r="F268" s="32"/>
      <c r="G268" s="32"/>
      <c r="H268" s="32"/>
      <c r="I268" s="32"/>
      <c r="J268" s="32"/>
      <c r="K268" s="32"/>
      <c r="L268" s="32"/>
      <c r="M268" s="32"/>
      <c r="N268" s="32"/>
      <c r="O268" s="32"/>
      <c r="P268" s="32"/>
      <c r="Q268" s="32"/>
      <c r="R268" s="32"/>
      <c r="S268" s="32"/>
      <c r="T268" s="32"/>
      <c r="U268" s="141"/>
      <c r="V268" s="32"/>
      <c r="W268" s="32"/>
      <c r="X268" s="32"/>
      <c r="Y268" s="32"/>
      <c r="Z268" s="32"/>
      <c r="AA268" s="32"/>
      <c r="AB268" s="32"/>
    </row>
    <row r="269" spans="2:28" ht="14.4">
      <c r="B269" s="64" t="s">
        <v>522</v>
      </c>
      <c r="C269" s="419">
        <v>3748</v>
      </c>
      <c r="D269" s="419">
        <v>1767</v>
      </c>
      <c r="E269" s="77">
        <v>3038</v>
      </c>
      <c r="F269" s="32"/>
      <c r="G269" s="32"/>
      <c r="H269" s="32"/>
      <c r="I269" s="32"/>
      <c r="J269" s="32"/>
      <c r="K269" s="32"/>
      <c r="L269" s="32"/>
      <c r="M269" s="32"/>
      <c r="N269" s="32"/>
      <c r="O269" s="32"/>
      <c r="P269" s="32"/>
      <c r="Q269" s="32"/>
      <c r="R269" s="32"/>
      <c r="S269" s="32"/>
      <c r="T269" s="32"/>
      <c r="U269" s="141"/>
      <c r="V269" s="32"/>
      <c r="W269" s="32"/>
      <c r="X269" s="32"/>
      <c r="Y269" s="32"/>
      <c r="Z269" s="32"/>
      <c r="AA269" s="32"/>
      <c r="AB269" s="32"/>
    </row>
    <row r="270" spans="2:28" ht="14.4">
      <c r="B270" s="64" t="s">
        <v>523</v>
      </c>
      <c r="C270" s="419">
        <v>4368</v>
      </c>
      <c r="D270" s="419">
        <v>1990</v>
      </c>
      <c r="E270" s="77">
        <v>5376</v>
      </c>
      <c r="F270" s="32"/>
      <c r="G270" s="32"/>
      <c r="H270" s="32"/>
      <c r="I270" s="32"/>
      <c r="J270" s="32"/>
      <c r="K270" s="32"/>
      <c r="L270" s="32"/>
      <c r="M270" s="32"/>
      <c r="N270" s="32"/>
      <c r="O270" s="32"/>
      <c r="P270" s="32"/>
      <c r="Q270" s="32"/>
      <c r="R270" s="32"/>
      <c r="S270" s="32"/>
      <c r="T270" s="32"/>
      <c r="U270" s="141"/>
      <c r="V270" s="32"/>
      <c r="W270" s="32"/>
      <c r="X270" s="32"/>
      <c r="Y270" s="32"/>
      <c r="Z270" s="32"/>
      <c r="AA270" s="32"/>
      <c r="AB270" s="32"/>
    </row>
    <row r="271" spans="2:28" ht="14.4">
      <c r="B271" s="64" t="s">
        <v>524</v>
      </c>
      <c r="C271" s="419">
        <v>5477</v>
      </c>
      <c r="D271" s="419">
        <v>2389</v>
      </c>
      <c r="E271" s="77">
        <v>5376</v>
      </c>
      <c r="F271" s="32"/>
      <c r="G271" s="32"/>
      <c r="H271" s="32"/>
      <c r="N271" s="32"/>
      <c r="O271" s="32"/>
      <c r="P271" s="32"/>
      <c r="Q271" s="32"/>
      <c r="R271" s="32"/>
      <c r="S271" s="32"/>
      <c r="T271" s="32"/>
      <c r="U271" s="141"/>
      <c r="V271" s="32"/>
      <c r="W271" s="32"/>
      <c r="X271" s="32"/>
      <c r="Y271" s="32"/>
      <c r="Z271" s="32"/>
      <c r="AA271" s="32"/>
      <c r="AB271" s="32"/>
    </row>
    <row r="272" spans="2:28" ht="14.4">
      <c r="B272" s="64" t="s">
        <v>525</v>
      </c>
      <c r="C272" s="419">
        <v>2586</v>
      </c>
      <c r="D272" s="419">
        <v>1348</v>
      </c>
      <c r="E272" s="77">
        <v>5376</v>
      </c>
      <c r="F272" s="32"/>
      <c r="G272" s="32"/>
      <c r="H272" s="32"/>
      <c r="N272" s="32"/>
      <c r="O272" s="32"/>
      <c r="P272" s="32"/>
      <c r="Q272" s="32"/>
      <c r="R272" s="32"/>
      <c r="S272" s="32"/>
      <c r="T272" s="32"/>
      <c r="U272" s="141"/>
      <c r="V272" s="32"/>
      <c r="W272" s="32"/>
      <c r="X272" s="32"/>
      <c r="Y272" s="32"/>
      <c r="Z272" s="32"/>
      <c r="AA272" s="32"/>
      <c r="AB272" s="32"/>
    </row>
    <row r="273" spans="2:28" ht="14.4">
      <c r="B273" s="64" t="s">
        <v>526</v>
      </c>
      <c r="C273" s="419">
        <v>7665</v>
      </c>
      <c r="D273" s="419">
        <v>3177</v>
      </c>
      <c r="E273" s="77">
        <v>5376</v>
      </c>
      <c r="F273" s="32"/>
      <c r="G273" s="32"/>
      <c r="H273" s="32"/>
      <c r="N273" s="32"/>
      <c r="O273" s="32"/>
      <c r="P273" s="32"/>
      <c r="Q273" s="32"/>
      <c r="R273" s="32"/>
      <c r="S273" s="32"/>
      <c r="T273" s="32"/>
      <c r="U273" s="141"/>
      <c r="V273" s="32"/>
      <c r="W273" s="32"/>
      <c r="X273" s="32"/>
      <c r="Y273" s="32"/>
      <c r="Z273" s="32"/>
      <c r="AA273" s="32"/>
      <c r="AB273" s="32"/>
    </row>
    <row r="274" spans="2:28" ht="14.4">
      <c r="B274" s="64" t="s">
        <v>527</v>
      </c>
      <c r="C274" s="419">
        <v>3748</v>
      </c>
      <c r="D274" s="419">
        <v>1767</v>
      </c>
      <c r="E274" s="77">
        <v>5376</v>
      </c>
      <c r="F274" s="32"/>
      <c r="G274" s="32"/>
      <c r="H274" s="32"/>
      <c r="N274" s="32"/>
      <c r="O274" s="32"/>
      <c r="P274" s="32"/>
      <c r="Q274" s="32"/>
      <c r="R274" s="32"/>
      <c r="S274" s="32"/>
      <c r="T274" s="32"/>
      <c r="U274" s="141"/>
      <c r="V274" s="32"/>
      <c r="W274" s="32"/>
      <c r="X274" s="32"/>
      <c r="Y274" s="32"/>
      <c r="Z274" s="32"/>
      <c r="AA274" s="32"/>
      <c r="AB274" s="32"/>
    </row>
    <row r="275" spans="2:28" ht="14.4">
      <c r="B275" s="64" t="s">
        <v>528</v>
      </c>
      <c r="C275" s="419">
        <v>1949</v>
      </c>
      <c r="D275" s="419">
        <v>1119</v>
      </c>
      <c r="E275" s="77">
        <v>5376</v>
      </c>
      <c r="F275" s="32"/>
      <c r="G275" s="32"/>
      <c r="H275" s="32"/>
      <c r="N275" s="32"/>
      <c r="O275" s="32"/>
      <c r="P275" s="32"/>
      <c r="Q275" s="32"/>
      <c r="R275" s="32"/>
      <c r="S275" s="32"/>
      <c r="T275" s="32"/>
      <c r="U275" s="141"/>
      <c r="V275" s="32"/>
      <c r="W275" s="32"/>
      <c r="X275" s="32"/>
      <c r="Y275" s="32"/>
      <c r="Z275" s="32"/>
      <c r="AA275" s="32"/>
      <c r="AB275" s="32"/>
    </row>
    <row r="276" spans="2:28" ht="14.4">
      <c r="B276" s="64" t="s">
        <v>529</v>
      </c>
      <c r="C276" s="419">
        <v>2602</v>
      </c>
      <c r="D276" s="419">
        <v>1354</v>
      </c>
      <c r="E276" s="77">
        <v>0</v>
      </c>
      <c r="F276" s="32"/>
      <c r="G276" s="32"/>
      <c r="H276" s="32"/>
      <c r="N276" s="32"/>
      <c r="O276" s="32"/>
      <c r="P276" s="32"/>
      <c r="Q276" s="32"/>
      <c r="R276" s="32"/>
      <c r="S276" s="32"/>
      <c r="T276" s="32"/>
      <c r="U276" s="141"/>
      <c r="V276" s="32"/>
      <c r="W276" s="32"/>
      <c r="X276" s="32"/>
      <c r="Y276" s="32"/>
      <c r="Z276" s="32"/>
      <c r="AA276" s="32"/>
      <c r="AB276" s="32"/>
    </row>
    <row r="277" spans="2:28" ht="14.4">
      <c r="B277" s="64" t="s">
        <v>530</v>
      </c>
      <c r="C277" s="419">
        <v>1955</v>
      </c>
      <c r="D277" s="419">
        <v>1121</v>
      </c>
      <c r="E277" s="77">
        <v>5376</v>
      </c>
      <c r="F277" s="32"/>
      <c r="G277" s="32"/>
      <c r="H277" s="32"/>
      <c r="N277" s="32"/>
      <c r="O277" s="32"/>
      <c r="P277" s="32"/>
      <c r="Q277" s="32"/>
      <c r="R277" s="32"/>
      <c r="S277" s="32"/>
      <c r="T277" s="32"/>
      <c r="U277" s="141"/>
      <c r="V277" s="32"/>
      <c r="W277" s="32"/>
      <c r="X277" s="32"/>
      <c r="Y277" s="32"/>
      <c r="Z277" s="32"/>
      <c r="AA277" s="32"/>
      <c r="AB277" s="32"/>
    </row>
    <row r="278" spans="2:28" ht="14.4">
      <c r="B278" s="64" t="s">
        <v>531</v>
      </c>
      <c r="C278" s="419">
        <v>3066</v>
      </c>
      <c r="D278" s="419">
        <v>1521</v>
      </c>
      <c r="E278" s="77">
        <v>5376</v>
      </c>
      <c r="F278" s="32"/>
      <c r="G278" s="32"/>
      <c r="H278" s="32"/>
      <c r="N278" s="32"/>
      <c r="O278" s="32"/>
      <c r="P278" s="32"/>
      <c r="Q278" s="32"/>
      <c r="R278" s="32"/>
      <c r="S278" s="32"/>
      <c r="T278" s="32"/>
      <c r="U278" s="141"/>
      <c r="V278" s="32"/>
      <c r="W278" s="32"/>
      <c r="X278" s="32"/>
      <c r="Y278" s="32"/>
      <c r="Z278" s="32"/>
      <c r="AA278" s="32"/>
      <c r="AB278" s="32"/>
    </row>
    <row r="279" spans="2:28" ht="14.4">
      <c r="B279" s="64" t="s">
        <v>532</v>
      </c>
      <c r="C279" s="419">
        <v>4182</v>
      </c>
      <c r="D279" s="419">
        <v>1923</v>
      </c>
      <c r="E279" s="77">
        <v>5376</v>
      </c>
      <c r="F279" s="32"/>
      <c r="G279" s="32"/>
      <c r="H279" s="32"/>
      <c r="N279" s="32"/>
      <c r="O279" s="32"/>
      <c r="P279" s="32"/>
      <c r="Q279" s="32"/>
      <c r="R279" s="32"/>
      <c r="S279" s="32"/>
      <c r="T279" s="32"/>
      <c r="U279" s="141"/>
      <c r="V279" s="32"/>
      <c r="W279" s="32"/>
      <c r="X279" s="32"/>
      <c r="Y279" s="32"/>
      <c r="Z279" s="32"/>
      <c r="AA279" s="32"/>
      <c r="AB279" s="32"/>
    </row>
    <row r="280" spans="2:28" ht="14.4">
      <c r="B280" s="64" t="s">
        <v>533</v>
      </c>
      <c r="C280" s="419">
        <v>4057</v>
      </c>
      <c r="D280" s="419">
        <v>1878</v>
      </c>
      <c r="E280" s="77">
        <v>2344</v>
      </c>
      <c r="F280" s="32"/>
      <c r="G280" s="32"/>
      <c r="H280" s="32"/>
      <c r="N280" s="32"/>
      <c r="O280" s="32"/>
      <c r="P280" s="32"/>
      <c r="Q280" s="32"/>
      <c r="R280" s="32"/>
      <c r="S280" s="32"/>
      <c r="T280" s="32"/>
      <c r="U280" s="141"/>
      <c r="V280" s="32"/>
      <c r="W280" s="32"/>
      <c r="X280" s="32"/>
      <c r="Y280" s="32"/>
      <c r="Z280" s="32"/>
      <c r="AA280" s="32"/>
      <c r="AB280" s="32"/>
    </row>
    <row r="281" spans="2:28" ht="14.4">
      <c r="B281" s="64" t="s">
        <v>534</v>
      </c>
      <c r="C281" s="419">
        <v>2187</v>
      </c>
      <c r="D281" s="419">
        <v>1205</v>
      </c>
      <c r="E281" s="77">
        <v>4038</v>
      </c>
      <c r="F281" s="32"/>
      <c r="G281" s="32"/>
      <c r="H281" s="32"/>
      <c r="N281" s="32"/>
      <c r="O281" s="32"/>
      <c r="P281" s="32"/>
      <c r="Q281" s="32"/>
      <c r="R281" s="32"/>
      <c r="S281" s="32"/>
      <c r="T281" s="32"/>
      <c r="U281" s="141"/>
      <c r="V281" s="32"/>
      <c r="W281" s="32"/>
      <c r="X281" s="32"/>
      <c r="Y281" s="32"/>
      <c r="Z281" s="32"/>
      <c r="AA281" s="32"/>
      <c r="AB281" s="32"/>
    </row>
    <row r="282" spans="2:28" ht="14.4">
      <c r="B282" s="64" t="s">
        <v>535</v>
      </c>
      <c r="C282" s="419">
        <v>2187</v>
      </c>
      <c r="D282" s="419">
        <v>1205</v>
      </c>
      <c r="E282" s="77">
        <v>3229</v>
      </c>
      <c r="F282" s="32"/>
      <c r="G282" s="32"/>
      <c r="H282" s="32"/>
      <c r="N282" s="32"/>
      <c r="O282" s="32"/>
      <c r="P282" s="32"/>
      <c r="Q282" s="32"/>
      <c r="R282" s="32"/>
      <c r="S282" s="32"/>
      <c r="T282" s="32"/>
      <c r="U282" s="141"/>
      <c r="V282" s="32"/>
      <c r="W282" s="32"/>
      <c r="X282" s="32"/>
      <c r="Y282" s="32"/>
      <c r="Z282" s="32"/>
      <c r="AA282" s="32"/>
      <c r="AB282" s="32"/>
    </row>
    <row r="283" spans="2:28" ht="14.4">
      <c r="B283" s="64" t="s">
        <v>536</v>
      </c>
      <c r="C283" s="419">
        <v>2187</v>
      </c>
      <c r="D283" s="419">
        <v>1205</v>
      </c>
      <c r="E283" s="77">
        <v>3229</v>
      </c>
      <c r="F283" s="32"/>
      <c r="G283" s="32"/>
      <c r="H283" s="32"/>
      <c r="N283" s="32"/>
      <c r="O283" s="32"/>
      <c r="P283" s="32"/>
      <c r="Q283" s="32"/>
      <c r="R283" s="32"/>
      <c r="S283" s="32"/>
      <c r="T283" s="32"/>
      <c r="U283" s="141"/>
      <c r="V283" s="32"/>
      <c r="W283" s="32"/>
      <c r="X283" s="32"/>
      <c r="Y283" s="32"/>
      <c r="Z283" s="32"/>
      <c r="AA283" s="32"/>
      <c r="AB283" s="32"/>
    </row>
    <row r="284" spans="2:28" ht="14.4">
      <c r="B284" s="64" t="s">
        <v>537</v>
      </c>
      <c r="C284" s="419">
        <v>2187</v>
      </c>
      <c r="D284" s="419">
        <v>1205</v>
      </c>
      <c r="E284" s="77">
        <v>3229</v>
      </c>
      <c r="F284" s="32"/>
      <c r="G284" s="32"/>
      <c r="H284" s="32"/>
      <c r="N284" s="32"/>
      <c r="O284" s="32"/>
      <c r="P284" s="32"/>
      <c r="Q284" s="32"/>
      <c r="R284" s="32"/>
      <c r="S284" s="32"/>
      <c r="T284" s="32"/>
      <c r="U284" s="141"/>
      <c r="V284" s="32"/>
      <c r="W284" s="32"/>
      <c r="X284" s="32"/>
      <c r="Y284" s="32"/>
      <c r="Z284" s="32"/>
      <c r="AA284" s="32"/>
      <c r="AB284" s="32"/>
    </row>
    <row r="285" spans="2:28" ht="14.4">
      <c r="B285" s="64" t="s">
        <v>538</v>
      </c>
      <c r="C285" s="419">
        <v>3750</v>
      </c>
      <c r="D285" s="419">
        <v>1768</v>
      </c>
      <c r="E285" s="77">
        <v>5376</v>
      </c>
      <c r="F285" s="32"/>
      <c r="G285" s="32"/>
      <c r="H285" s="32"/>
      <c r="N285" s="32"/>
      <c r="O285" s="32"/>
      <c r="P285" s="32"/>
      <c r="Q285" s="32"/>
      <c r="R285" s="32"/>
      <c r="S285" s="32"/>
      <c r="T285" s="32"/>
      <c r="U285" s="141"/>
      <c r="V285" s="32"/>
      <c r="W285" s="32"/>
      <c r="X285" s="32"/>
      <c r="Y285" s="32"/>
      <c r="Z285" s="32"/>
      <c r="AA285" s="32"/>
      <c r="AB285" s="32"/>
    </row>
    <row r="286" spans="2:28" ht="14.4">
      <c r="B286" s="64" t="s">
        <v>539</v>
      </c>
      <c r="C286" s="419">
        <v>1954</v>
      </c>
      <c r="D286" s="419">
        <v>1121</v>
      </c>
      <c r="E286" s="77">
        <v>5376</v>
      </c>
      <c r="F286" s="32"/>
      <c r="G286" s="32"/>
      <c r="H286" s="32"/>
      <c r="N286" s="32"/>
      <c r="O286" s="32"/>
      <c r="P286" s="32"/>
      <c r="Q286" s="32"/>
      <c r="R286" s="32"/>
      <c r="S286" s="32"/>
      <c r="T286" s="32"/>
      <c r="U286" s="141"/>
      <c r="V286" s="32"/>
      <c r="W286" s="32"/>
      <c r="X286" s="32"/>
      <c r="Y286" s="32"/>
      <c r="Z286" s="32"/>
      <c r="AA286" s="32"/>
      <c r="AB286" s="32"/>
    </row>
    <row r="287" spans="2:28" ht="14.4">
      <c r="B287" s="64" t="s">
        <v>540</v>
      </c>
      <c r="C287" s="419">
        <v>3748</v>
      </c>
      <c r="D287" s="419">
        <v>1767</v>
      </c>
      <c r="E287" s="77">
        <v>5376</v>
      </c>
      <c r="F287" s="32"/>
      <c r="G287" s="32"/>
      <c r="H287" s="32"/>
      <c r="N287" s="32"/>
      <c r="O287" s="32"/>
      <c r="P287" s="32"/>
      <c r="Q287" s="32"/>
      <c r="R287" s="32"/>
      <c r="S287" s="32"/>
      <c r="T287" s="32"/>
      <c r="U287" s="141"/>
      <c r="V287" s="32"/>
      <c r="W287" s="32"/>
      <c r="X287" s="32"/>
      <c r="Y287" s="32"/>
      <c r="Z287" s="32"/>
      <c r="AA287" s="32"/>
      <c r="AB287" s="32"/>
    </row>
    <row r="288" spans="2:28" ht="14.4">
      <c r="B288" s="64" t="s">
        <v>541</v>
      </c>
      <c r="C288" s="419">
        <v>6456</v>
      </c>
      <c r="D288" s="419">
        <v>2742</v>
      </c>
      <c r="E288" s="77">
        <v>5376</v>
      </c>
      <c r="F288" s="32"/>
      <c r="G288" s="32"/>
      <c r="H288" s="32"/>
      <c r="N288" s="32"/>
      <c r="O288" s="32"/>
      <c r="P288" s="32"/>
      <c r="Q288" s="32"/>
      <c r="R288" s="32"/>
      <c r="S288" s="32"/>
      <c r="T288" s="32"/>
      <c r="U288" s="141"/>
      <c r="V288" s="32"/>
      <c r="W288" s="32"/>
      <c r="X288" s="32"/>
      <c r="Y288" s="32"/>
      <c r="Z288" s="32"/>
      <c r="AA288" s="32"/>
      <c r="AB288" s="32"/>
    </row>
    <row r="289" spans="2:28" ht="14.4">
      <c r="B289" s="64" t="s">
        <v>542</v>
      </c>
      <c r="C289" s="419">
        <v>2602</v>
      </c>
      <c r="D289" s="419">
        <v>1354</v>
      </c>
      <c r="E289" s="77">
        <v>5376</v>
      </c>
      <c r="F289" s="32"/>
      <c r="G289" s="32"/>
      <c r="H289" s="32"/>
      <c r="N289" s="32"/>
      <c r="O289" s="32"/>
      <c r="P289" s="32"/>
      <c r="Q289" s="32"/>
      <c r="R289" s="32"/>
      <c r="S289" s="32"/>
      <c r="T289" s="32"/>
      <c r="U289" s="141"/>
      <c r="V289" s="32"/>
      <c r="W289" s="32"/>
      <c r="X289" s="32"/>
      <c r="Y289" s="32"/>
      <c r="Z289" s="32"/>
      <c r="AA289" s="32"/>
      <c r="AB289" s="32"/>
    </row>
    <row r="290" spans="2:28" ht="14.4">
      <c r="B290" s="64" t="s">
        <v>543</v>
      </c>
      <c r="C290" s="419">
        <v>6631</v>
      </c>
      <c r="D290" s="419">
        <v>2805</v>
      </c>
      <c r="E290" s="77">
        <v>5376</v>
      </c>
      <c r="F290" s="32"/>
      <c r="G290" s="32"/>
      <c r="H290" s="32"/>
      <c r="N290" s="32"/>
      <c r="O290" s="32"/>
      <c r="P290" s="32"/>
      <c r="Q290" s="32"/>
      <c r="R290" s="32"/>
      <c r="S290" s="32"/>
      <c r="T290" s="32"/>
      <c r="U290" s="141"/>
      <c r="V290" s="32"/>
      <c r="W290" s="32"/>
      <c r="X290" s="32"/>
      <c r="Y290" s="32"/>
      <c r="Z290" s="32"/>
      <c r="AA290" s="32"/>
      <c r="AB290" s="32"/>
    </row>
    <row r="291" spans="2:28" ht="15" thickBot="1">
      <c r="B291" s="69" t="s">
        <v>544</v>
      </c>
      <c r="C291" s="70">
        <v>3750</v>
      </c>
      <c r="D291" s="70">
        <v>1768</v>
      </c>
      <c r="E291" s="78">
        <v>5376</v>
      </c>
      <c r="F291" s="32"/>
      <c r="G291" s="32"/>
      <c r="H291" s="32"/>
      <c r="N291" s="32"/>
      <c r="O291" s="32"/>
      <c r="P291" s="32"/>
      <c r="Q291" s="32"/>
      <c r="R291" s="32"/>
      <c r="S291" s="32"/>
      <c r="T291" s="32"/>
      <c r="U291" s="141"/>
      <c r="V291" s="32"/>
      <c r="W291" s="32"/>
      <c r="X291" s="32"/>
      <c r="Y291" s="32"/>
      <c r="Z291" s="32"/>
      <c r="AA291" s="32"/>
      <c r="AB291" s="32"/>
    </row>
    <row r="292" spans="2:28" ht="14.4">
      <c r="B292" s="60" t="s">
        <v>545</v>
      </c>
      <c r="C292" s="32"/>
      <c r="D292" s="32"/>
      <c r="E292" s="32"/>
      <c r="F292" s="32"/>
      <c r="G292" s="32"/>
      <c r="H292" s="32"/>
      <c r="N292" s="32"/>
      <c r="O292" s="32"/>
      <c r="P292" s="32"/>
      <c r="Q292" s="32"/>
      <c r="R292" s="32"/>
      <c r="S292" s="32"/>
      <c r="T292" s="32"/>
      <c r="U292" s="141"/>
      <c r="V292" s="32"/>
      <c r="W292" s="32"/>
      <c r="X292" s="32"/>
      <c r="Y292" s="32"/>
      <c r="Z292" s="32"/>
      <c r="AA292" s="32"/>
      <c r="AB292" s="32"/>
    </row>
    <row r="293" spans="2:28" ht="14.4">
      <c r="B293" s="32"/>
      <c r="C293" s="32"/>
      <c r="D293" s="32"/>
      <c r="E293" s="32"/>
      <c r="F293" s="32"/>
      <c r="G293" s="32"/>
      <c r="H293" s="32"/>
      <c r="N293" s="32"/>
      <c r="O293" s="32"/>
      <c r="P293" s="32"/>
      <c r="Q293" s="32"/>
      <c r="R293" s="32"/>
      <c r="S293" s="32"/>
      <c r="T293" s="32"/>
      <c r="U293" s="141"/>
      <c r="V293" s="32"/>
      <c r="W293" s="32"/>
      <c r="X293" s="32"/>
      <c r="Y293" s="32"/>
      <c r="Z293" s="32"/>
      <c r="AA293" s="32"/>
      <c r="AB293" s="32"/>
    </row>
    <row r="294" spans="2:28" ht="14.4">
      <c r="H294" s="12"/>
      <c r="N294" s="32"/>
      <c r="O294" s="32"/>
      <c r="P294" s="32"/>
      <c r="Q294" s="32"/>
      <c r="R294" s="32"/>
      <c r="S294" s="32"/>
      <c r="T294" s="32"/>
      <c r="U294" s="141"/>
      <c r="V294" s="32"/>
      <c r="W294" s="32"/>
      <c r="X294" s="32"/>
      <c r="Y294" s="32"/>
      <c r="Z294" s="32"/>
      <c r="AA294" s="32"/>
      <c r="AB294" s="32"/>
    </row>
    <row r="295" spans="2:28" ht="14.4">
      <c r="H295" s="12"/>
      <c r="N295" s="32"/>
      <c r="O295" s="32"/>
      <c r="P295" s="32"/>
      <c r="Q295" s="32"/>
      <c r="R295" s="32"/>
      <c r="S295" s="32"/>
      <c r="T295" s="32"/>
      <c r="U295" s="141"/>
      <c r="V295" s="32"/>
      <c r="W295" s="32"/>
      <c r="X295" s="32"/>
      <c r="Y295" s="32"/>
      <c r="Z295" s="32"/>
      <c r="AA295" s="32"/>
      <c r="AB295" s="32"/>
    </row>
    <row r="296" spans="2:28" ht="14.4">
      <c r="M296" s="32"/>
      <c r="N296" s="32"/>
      <c r="O296" s="32"/>
      <c r="P296" s="32"/>
      <c r="Q296" s="32"/>
      <c r="R296" s="32"/>
      <c r="S296" s="32"/>
      <c r="T296" s="32"/>
      <c r="U296" s="141"/>
      <c r="V296" s="32"/>
      <c r="W296" s="32"/>
      <c r="X296" s="32"/>
      <c r="Y296" s="32"/>
      <c r="Z296" s="32"/>
      <c r="AA296" s="32"/>
      <c r="AB296" s="32"/>
    </row>
    <row r="297" spans="2:28" ht="14.4">
      <c r="M297" s="32"/>
      <c r="N297" s="32"/>
      <c r="O297" s="32"/>
      <c r="P297" s="32"/>
      <c r="Q297" s="32"/>
      <c r="R297" s="32"/>
      <c r="S297" s="32"/>
      <c r="T297" s="32"/>
      <c r="U297" s="141"/>
      <c r="V297" s="32"/>
      <c r="W297" s="32"/>
      <c r="X297" s="32"/>
      <c r="Y297" s="32"/>
      <c r="Z297" s="32"/>
      <c r="AA297" s="32"/>
      <c r="AB297" s="32"/>
    </row>
    <row r="298" spans="2:28" ht="14.4">
      <c r="M298" s="32"/>
      <c r="N298" s="32"/>
      <c r="O298" s="32"/>
      <c r="P298" s="32"/>
      <c r="Q298" s="32"/>
      <c r="R298" s="32"/>
      <c r="S298" s="32"/>
      <c r="T298" s="32"/>
      <c r="U298" s="141"/>
      <c r="V298" s="32"/>
      <c r="W298" s="32"/>
      <c r="X298" s="32"/>
      <c r="Y298" s="32"/>
      <c r="Z298" s="32"/>
      <c r="AA298" s="32"/>
      <c r="AB298" s="32"/>
    </row>
    <row r="299" spans="2:28" ht="14.4">
      <c r="M299" s="32"/>
      <c r="N299" s="32"/>
      <c r="O299" s="32"/>
      <c r="P299" s="32"/>
      <c r="Q299" s="32"/>
      <c r="R299" s="32"/>
      <c r="S299" s="32"/>
      <c r="T299" s="32"/>
      <c r="U299" s="141"/>
      <c r="V299" s="32"/>
      <c r="W299" s="32"/>
      <c r="X299" s="32"/>
      <c r="Y299" s="32"/>
      <c r="Z299" s="32"/>
      <c r="AA299" s="32"/>
      <c r="AB299" s="32"/>
    </row>
    <row r="300" spans="2:28" ht="14.4">
      <c r="M300" s="32"/>
      <c r="N300" s="32"/>
      <c r="O300" s="32"/>
      <c r="P300" s="32"/>
      <c r="Q300" s="32"/>
      <c r="R300" s="32"/>
      <c r="S300" s="32"/>
      <c r="T300" s="32"/>
      <c r="U300" s="141"/>
      <c r="V300" s="32"/>
      <c r="W300" s="32"/>
      <c r="X300" s="32"/>
      <c r="Y300" s="32"/>
      <c r="Z300" s="32"/>
      <c r="AA300" s="32"/>
      <c r="AB300" s="32"/>
    </row>
    <row r="301" spans="2:28" ht="14.4">
      <c r="M301" s="32"/>
      <c r="N301" s="32"/>
      <c r="O301" s="32"/>
      <c r="P301" s="32"/>
      <c r="Q301" s="32"/>
      <c r="R301" s="32"/>
      <c r="S301" s="32"/>
      <c r="T301" s="32"/>
      <c r="U301" s="141"/>
      <c r="V301" s="32"/>
      <c r="W301" s="32"/>
      <c r="X301" s="32"/>
      <c r="Y301" s="32"/>
      <c r="Z301" s="32"/>
      <c r="AA301" s="32"/>
      <c r="AB301" s="32"/>
    </row>
    <row r="302" spans="2:28" ht="14.4">
      <c r="M302" s="32"/>
      <c r="N302" s="32"/>
      <c r="O302" s="32"/>
      <c r="P302" s="32"/>
      <c r="Q302" s="32"/>
      <c r="R302" s="32"/>
      <c r="S302" s="32"/>
      <c r="T302" s="32"/>
      <c r="U302" s="141"/>
      <c r="V302" s="32"/>
      <c r="W302" s="32"/>
      <c r="X302" s="32"/>
      <c r="Y302" s="32"/>
      <c r="Z302" s="32"/>
      <c r="AA302" s="32"/>
      <c r="AB302" s="32"/>
    </row>
    <row r="303" spans="2:28" ht="14.4">
      <c r="M303" s="32"/>
      <c r="N303" s="32"/>
      <c r="O303" s="32"/>
      <c r="P303" s="32"/>
      <c r="Q303" s="32"/>
      <c r="R303" s="32"/>
      <c r="S303" s="32"/>
      <c r="T303" s="32"/>
      <c r="U303" s="141"/>
      <c r="V303" s="32"/>
      <c r="W303" s="32"/>
      <c r="X303" s="32"/>
      <c r="Y303" s="32"/>
      <c r="Z303" s="32"/>
      <c r="AA303" s="32"/>
      <c r="AB303" s="32"/>
    </row>
    <row r="304" spans="2:28" ht="14.4">
      <c r="M304" s="32"/>
      <c r="N304" s="32"/>
      <c r="O304" s="32"/>
      <c r="P304" s="32"/>
      <c r="Q304" s="32"/>
      <c r="R304" s="32"/>
      <c r="S304" s="32"/>
      <c r="T304" s="32"/>
      <c r="U304" s="141"/>
      <c r="V304" s="32"/>
      <c r="W304" s="32"/>
      <c r="X304" s="32"/>
      <c r="Y304" s="32"/>
      <c r="Z304" s="32"/>
      <c r="AA304" s="32"/>
      <c r="AB304" s="32"/>
    </row>
    <row r="305" spans="13:28" ht="14.4">
      <c r="M305" s="32"/>
      <c r="N305" s="32"/>
      <c r="O305" s="32"/>
      <c r="P305" s="32"/>
      <c r="Q305" s="32"/>
      <c r="R305" s="32"/>
      <c r="S305" s="32"/>
      <c r="T305" s="32"/>
      <c r="U305" s="141"/>
      <c r="V305" s="32"/>
      <c r="W305" s="32"/>
      <c r="X305" s="32"/>
      <c r="Y305" s="32"/>
      <c r="Z305" s="32"/>
      <c r="AA305" s="32"/>
      <c r="AB305" s="32"/>
    </row>
    <row r="306" spans="13:28" ht="14.4">
      <c r="M306" s="32"/>
      <c r="N306" s="32"/>
      <c r="O306" s="32"/>
      <c r="P306" s="32"/>
      <c r="Q306" s="32"/>
      <c r="R306" s="32"/>
      <c r="S306" s="32"/>
      <c r="T306" s="32"/>
      <c r="U306" s="141"/>
      <c r="V306" s="32"/>
      <c r="W306" s="32"/>
      <c r="X306" s="32"/>
      <c r="Y306" s="32"/>
      <c r="Z306" s="32"/>
      <c r="AA306" s="32"/>
      <c r="AB306" s="32"/>
    </row>
    <row r="307" spans="13:28" ht="14.4">
      <c r="M307" s="32"/>
      <c r="N307" s="32"/>
      <c r="O307" s="32"/>
      <c r="P307" s="32"/>
      <c r="Q307" s="32"/>
      <c r="R307" s="32"/>
      <c r="S307" s="32"/>
      <c r="T307" s="32"/>
      <c r="U307" s="141"/>
      <c r="V307" s="32"/>
      <c r="W307" s="32"/>
      <c r="X307" s="32"/>
      <c r="Y307" s="32"/>
      <c r="Z307" s="32"/>
      <c r="AA307" s="32"/>
      <c r="AB307" s="32"/>
    </row>
    <row r="308" spans="13:28" ht="14.4">
      <c r="Z308" s="32"/>
      <c r="AA308" s="32"/>
      <c r="AB308" s="32"/>
    </row>
    <row r="309" spans="13:28" ht="14.4">
      <c r="Z309" s="32"/>
      <c r="AA309" s="32"/>
      <c r="AB309" s="32"/>
    </row>
    <row r="310" spans="13:28" ht="14.4">
      <c r="Z310" s="32"/>
      <c r="AA310" s="32"/>
      <c r="AB310" s="32"/>
    </row>
    <row r="311" spans="13:28" ht="14.4">
      <c r="Z311" s="32"/>
      <c r="AA311" s="32"/>
      <c r="AB311" s="32"/>
    </row>
    <row r="312" spans="13:28" ht="14.4">
      <c r="Z312" s="32"/>
      <c r="AA312" s="32"/>
      <c r="AB312" s="32"/>
    </row>
    <row r="313" spans="13:28" ht="14.4">
      <c r="Z313" s="32"/>
      <c r="AA313" s="32"/>
      <c r="AB313" s="32"/>
    </row>
    <row r="314" spans="13:28" ht="14.4">
      <c r="Z314" s="32"/>
      <c r="AA314" s="32"/>
      <c r="AB314" s="32"/>
    </row>
    <row r="315" spans="13:28" ht="14.4">
      <c r="Z315" s="32"/>
      <c r="AA315" s="32"/>
      <c r="AB315" s="32"/>
    </row>
    <row r="316" spans="13:28" ht="14.4">
      <c r="Z316" s="32"/>
      <c r="AA316" s="32"/>
      <c r="AB316" s="32"/>
    </row>
    <row r="317" spans="13:28" ht="14.4">
      <c r="Z317" s="32"/>
      <c r="AA317" s="32"/>
      <c r="AB317" s="32"/>
    </row>
    <row r="318" spans="13:28" ht="14.4">
      <c r="Z318" s="32"/>
      <c r="AA318" s="32"/>
      <c r="AB318" s="32"/>
    </row>
    <row r="319" spans="13:28" ht="14.4">
      <c r="Z319" s="32"/>
      <c r="AA319" s="32"/>
      <c r="AB319" s="32"/>
    </row>
    <row r="320" spans="13:28" ht="14.4">
      <c r="Z320" s="32"/>
      <c r="AA320" s="32"/>
      <c r="AB320" s="32"/>
    </row>
    <row r="321" spans="26:28" ht="14.4">
      <c r="Z321" s="32"/>
      <c r="AA321" s="32"/>
      <c r="AB321" s="32"/>
    </row>
    <row r="322" spans="26:28" ht="14.4">
      <c r="Z322" s="32"/>
      <c r="AA322" s="32"/>
      <c r="AB322" s="32"/>
    </row>
    <row r="323" spans="26:28" ht="14.4">
      <c r="Z323" s="32"/>
      <c r="AA323" s="32"/>
      <c r="AB323" s="32"/>
    </row>
    <row r="324" spans="26:28" ht="14.4">
      <c r="Z324" s="32"/>
      <c r="AA324" s="32"/>
      <c r="AB324" s="32"/>
    </row>
    <row r="325" spans="26:28" ht="14.4">
      <c r="Z325" s="32"/>
      <c r="AA325" s="32"/>
      <c r="AB325" s="32"/>
    </row>
    <row r="326" spans="26:28" ht="14.4">
      <c r="Z326" s="32"/>
      <c r="AA326" s="32"/>
      <c r="AB326" s="32"/>
    </row>
    <row r="327" spans="26:28" ht="14.4">
      <c r="Z327" s="32"/>
      <c r="AA327" s="32"/>
      <c r="AB327" s="32"/>
    </row>
    <row r="328" spans="26:28" ht="14.4">
      <c r="Z328" s="32"/>
      <c r="AA328" s="32"/>
      <c r="AB328" s="32"/>
    </row>
    <row r="329" spans="26:28" ht="14.4">
      <c r="Z329" s="32"/>
      <c r="AA329" s="32"/>
      <c r="AB329" s="32"/>
    </row>
  </sheetData>
  <mergeCells count="115">
    <mergeCell ref="Y145:Z145"/>
    <mergeCell ref="V35:X35"/>
    <mergeCell ref="V39:X39"/>
    <mergeCell ref="W2:X2"/>
    <mergeCell ref="Y2:Z2"/>
    <mergeCell ref="AA2:AB2"/>
    <mergeCell ref="AA31:AB31"/>
    <mergeCell ref="V32:X32"/>
    <mergeCell ref="I88:I89"/>
    <mergeCell ref="J88:J89"/>
    <mergeCell ref="R21:S21"/>
    <mergeCell ref="R15:S15"/>
    <mergeCell ref="R24:S24"/>
    <mergeCell ref="R12:S12"/>
    <mergeCell ref="R13:S13"/>
    <mergeCell ref="R4:S4"/>
    <mergeCell ref="R5:S5"/>
    <mergeCell ref="R6:S6"/>
    <mergeCell ref="R7:S7"/>
    <mergeCell ref="R8:S8"/>
    <mergeCell ref="R19:S19"/>
    <mergeCell ref="R20:S20"/>
    <mergeCell ref="T66:T67"/>
    <mergeCell ref="Q66:Q67"/>
    <mergeCell ref="H68:H85"/>
    <mergeCell ref="L133:L134"/>
    <mergeCell ref="M133:M134"/>
    <mergeCell ref="R92:S92"/>
    <mergeCell ref="R93:S93"/>
    <mergeCell ref="R94:S94"/>
    <mergeCell ref="B89:D89"/>
    <mergeCell ref="B115:D115"/>
    <mergeCell ref="B214:D214"/>
    <mergeCell ref="R102:S102"/>
    <mergeCell ref="B230:E230"/>
    <mergeCell ref="K214:M214"/>
    <mergeCell ref="K226:U226"/>
    <mergeCell ref="D152:F154"/>
    <mergeCell ref="R112:S112"/>
    <mergeCell ref="R113:S113"/>
    <mergeCell ref="R107:S107"/>
    <mergeCell ref="R108:S108"/>
    <mergeCell ref="R109:S109"/>
    <mergeCell ref="R110:S110"/>
    <mergeCell ref="R111:S111"/>
    <mergeCell ref="J115:J116"/>
    <mergeCell ref="K115:K116"/>
    <mergeCell ref="H2:H3"/>
    <mergeCell ref="M2:M3"/>
    <mergeCell ref="H66:H67"/>
    <mergeCell ref="I2:I3"/>
    <mergeCell ref="K2:K3"/>
    <mergeCell ref="L2:L3"/>
    <mergeCell ref="N2:N3"/>
    <mergeCell ref="N66:N67"/>
    <mergeCell ref="J2:J3"/>
    <mergeCell ref="H4:H24"/>
    <mergeCell ref="I66:I67"/>
    <mergeCell ref="J66:J67"/>
    <mergeCell ref="K66:K67"/>
    <mergeCell ref="L257:Q257"/>
    <mergeCell ref="L256:Q256"/>
    <mergeCell ref="H133:H134"/>
    <mergeCell ref="I133:I134"/>
    <mergeCell ref="H135:H150"/>
    <mergeCell ref="H115:H116"/>
    <mergeCell ref="I115:I116"/>
    <mergeCell ref="H117:H132"/>
    <mergeCell ref="K88:K89"/>
    <mergeCell ref="H88:H89"/>
    <mergeCell ref="J133:J134"/>
    <mergeCell ref="K133:K134"/>
    <mergeCell ref="H90:H113"/>
    <mergeCell ref="L115:L116"/>
    <mergeCell ref="M115:M116"/>
    <mergeCell ref="V227:V229"/>
    <mergeCell ref="R95:S95"/>
    <mergeCell ref="R96:S96"/>
    <mergeCell ref="R88:S89"/>
    <mergeCell ref="R90:S90"/>
    <mergeCell ref="R91:S91"/>
    <mergeCell ref="R100:S100"/>
    <mergeCell ref="R101:S101"/>
    <mergeCell ref="L88:L89"/>
    <mergeCell ref="P88:P89"/>
    <mergeCell ref="Q88:Q89"/>
    <mergeCell ref="M88:M89"/>
    <mergeCell ref="N88:N89"/>
    <mergeCell ref="O88:O89"/>
    <mergeCell ref="R97:S97"/>
    <mergeCell ref="R98:S98"/>
    <mergeCell ref="R99:S99"/>
    <mergeCell ref="R103:S103"/>
    <mergeCell ref="R104:S104"/>
    <mergeCell ref="R105:S105"/>
    <mergeCell ref="R106:S106"/>
    <mergeCell ref="R17:S17"/>
    <mergeCell ref="R18:S18"/>
    <mergeCell ref="R14:S14"/>
    <mergeCell ref="Q2:Q3"/>
    <mergeCell ref="R66:R67"/>
    <mergeCell ref="L66:L67"/>
    <mergeCell ref="M66:M67"/>
    <mergeCell ref="R2:S3"/>
    <mergeCell ref="R9:S9"/>
    <mergeCell ref="R10:S10"/>
    <mergeCell ref="R11:S11"/>
    <mergeCell ref="S66:S67"/>
    <mergeCell ref="P66:P67"/>
    <mergeCell ref="O2:O3"/>
    <mergeCell ref="P2:P3"/>
    <mergeCell ref="R22:S22"/>
    <mergeCell ref="R23:S23"/>
    <mergeCell ref="R16:S16"/>
    <mergeCell ref="O66:O67"/>
  </mergeCells>
  <phoneticPr fontId="64" type="noConversion"/>
  <hyperlinks>
    <hyperlink ref="Z34" r:id="rId1" xr:uid="{0A7646D9-FED7-48FA-9AB1-9239079E831E}"/>
    <hyperlink ref="V29" r:id="rId2" xr:uid="{E9DF3DD9-61F6-49D1-A1A5-9B58A60ED9B2}"/>
    <hyperlink ref="V27" r:id="rId3" xr:uid="{80B26958-0C41-440A-A404-92F4132B0010}"/>
  </hyperlinks>
  <pageMargins left="0.7" right="0.7" top="0.75" bottom="0.75" header="0.3" footer="0.3"/>
  <pageSetup orientation="portrait" r:id="rId4"/>
  <drawing r:id="rId5"/>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3440-ECA2-4F32-A7C3-EFBA2457B2F6}">
  <sheetPr codeName="Sheet3"/>
  <dimension ref="A1:E34"/>
  <sheetViews>
    <sheetView workbookViewId="0">
      <selection activeCell="B9" sqref="B9"/>
    </sheetView>
  </sheetViews>
  <sheetFormatPr defaultColWidth="9.109375" defaultRowHeight="13.2"/>
  <cols>
    <col min="1" max="5" width="15.44140625" style="98" customWidth="1"/>
    <col min="6" max="16384" width="9.109375" style="98"/>
  </cols>
  <sheetData>
    <row r="1" spans="1:5" ht="43.2">
      <c r="A1" s="110" t="s">
        <v>546</v>
      </c>
      <c r="B1" s="110" t="s">
        <v>547</v>
      </c>
      <c r="C1" s="110" t="s">
        <v>548</v>
      </c>
      <c r="D1" s="111" t="s">
        <v>549</v>
      </c>
      <c r="E1" s="111" t="s">
        <v>550</v>
      </c>
    </row>
    <row r="2" spans="1:5">
      <c r="A2" s="112" t="s">
        <v>551</v>
      </c>
      <c r="B2" s="112"/>
      <c r="C2" s="112">
        <v>10197</v>
      </c>
      <c r="D2" s="112">
        <v>0.7</v>
      </c>
      <c r="E2" s="112">
        <v>4.2</v>
      </c>
    </row>
    <row r="3" spans="1:5">
      <c r="A3" s="112" t="s">
        <v>551</v>
      </c>
      <c r="B3" s="112"/>
      <c r="C3" s="112">
        <v>10227</v>
      </c>
      <c r="D3" s="112">
        <v>0.7</v>
      </c>
      <c r="E3" s="112">
        <v>4.2</v>
      </c>
    </row>
    <row r="4" spans="1:5">
      <c r="A4" s="112" t="s">
        <v>551</v>
      </c>
      <c r="B4" s="112"/>
      <c r="C4" s="112">
        <v>13641</v>
      </c>
      <c r="D4" s="112">
        <v>0.7</v>
      </c>
      <c r="E4" s="112">
        <v>4.2</v>
      </c>
    </row>
    <row r="5" spans="1:5">
      <c r="A5" s="112" t="s">
        <v>551</v>
      </c>
      <c r="B5" s="112"/>
      <c r="C5" s="112">
        <v>13692</v>
      </c>
      <c r="D5" s="112">
        <v>0.7</v>
      </c>
      <c r="E5" s="112">
        <v>4.2</v>
      </c>
    </row>
    <row r="6" spans="1:5">
      <c r="A6" s="112" t="s">
        <v>552</v>
      </c>
      <c r="B6" s="112"/>
      <c r="C6" s="112" t="s">
        <v>553</v>
      </c>
      <c r="D6" s="112">
        <v>0.65</v>
      </c>
      <c r="E6" s="112">
        <v>4.4000000000000004</v>
      </c>
    </row>
    <row r="7" spans="1:5">
      <c r="A7" s="112" t="s">
        <v>552</v>
      </c>
      <c r="B7" s="112"/>
      <c r="C7" s="112" t="s">
        <v>554</v>
      </c>
      <c r="D7" s="112">
        <v>0.65</v>
      </c>
      <c r="E7" s="112">
        <v>4.4000000000000004</v>
      </c>
    </row>
    <row r="8" spans="1:5">
      <c r="A8" s="112" t="s">
        <v>555</v>
      </c>
      <c r="B8" s="112" t="s">
        <v>556</v>
      </c>
      <c r="C8" s="112" t="s">
        <v>557</v>
      </c>
      <c r="D8" s="112">
        <v>0.67</v>
      </c>
      <c r="E8" s="112">
        <v>4.5</v>
      </c>
    </row>
    <row r="9" spans="1:5">
      <c r="A9" s="112" t="s">
        <v>555</v>
      </c>
      <c r="B9" s="112" t="s">
        <v>558</v>
      </c>
      <c r="C9" s="112" t="s">
        <v>559</v>
      </c>
      <c r="D9" s="112">
        <v>0.67</v>
      </c>
      <c r="E9" s="112">
        <v>4.5</v>
      </c>
    </row>
    <row r="10" spans="1:5">
      <c r="A10" s="112" t="s">
        <v>552</v>
      </c>
      <c r="B10" s="112"/>
      <c r="C10" s="112" t="s">
        <v>560</v>
      </c>
      <c r="D10" s="112">
        <v>0.65</v>
      </c>
      <c r="E10" s="112">
        <v>4.5999999999999996</v>
      </c>
    </row>
    <row r="11" spans="1:5">
      <c r="A11" s="112" t="s">
        <v>555</v>
      </c>
      <c r="B11" s="112" t="s">
        <v>561</v>
      </c>
      <c r="C11" s="112" t="s">
        <v>562</v>
      </c>
      <c r="D11" s="112">
        <v>0.74</v>
      </c>
      <c r="E11" s="112">
        <v>4.9000000000000004</v>
      </c>
    </row>
    <row r="12" spans="1:5">
      <c r="A12" s="112" t="s">
        <v>555</v>
      </c>
      <c r="B12" s="112" t="s">
        <v>558</v>
      </c>
      <c r="C12" s="112" t="s">
        <v>563</v>
      </c>
      <c r="D12" s="112">
        <v>0.74</v>
      </c>
      <c r="E12" s="112">
        <v>4.9000000000000004</v>
      </c>
    </row>
    <row r="13" spans="1:5">
      <c r="A13" s="112" t="s">
        <v>564</v>
      </c>
      <c r="B13" s="112"/>
      <c r="C13" s="112" t="s">
        <v>565</v>
      </c>
      <c r="D13" s="112">
        <v>1</v>
      </c>
      <c r="E13" s="112">
        <v>6.4</v>
      </c>
    </row>
    <row r="14" spans="1:5">
      <c r="A14" s="112" t="s">
        <v>564</v>
      </c>
      <c r="B14" s="112"/>
      <c r="C14" s="112" t="s">
        <v>566</v>
      </c>
      <c r="D14" s="112">
        <v>1</v>
      </c>
      <c r="E14" s="112">
        <v>6.4</v>
      </c>
    </row>
    <row r="15" spans="1:5">
      <c r="A15" s="112" t="s">
        <v>564</v>
      </c>
      <c r="B15" s="112"/>
      <c r="C15" s="112" t="s">
        <v>567</v>
      </c>
      <c r="D15" s="112">
        <v>1</v>
      </c>
      <c r="E15" s="112">
        <v>6.4</v>
      </c>
    </row>
    <row r="16" spans="1:5">
      <c r="A16" s="112" t="s">
        <v>555</v>
      </c>
      <c r="B16" s="112" t="s">
        <v>561</v>
      </c>
      <c r="C16" s="112" t="s">
        <v>568</v>
      </c>
      <c r="D16" s="112">
        <v>1.05</v>
      </c>
      <c r="E16" s="112">
        <v>6.8</v>
      </c>
    </row>
    <row r="17" spans="1:5">
      <c r="A17" s="112" t="s">
        <v>555</v>
      </c>
      <c r="B17" s="112" t="s">
        <v>558</v>
      </c>
      <c r="C17" s="112" t="s">
        <v>569</v>
      </c>
      <c r="D17" s="112">
        <v>1.05</v>
      </c>
      <c r="E17" s="112">
        <v>6.8</v>
      </c>
    </row>
    <row r="18" spans="1:5">
      <c r="A18" s="112" t="s">
        <v>552</v>
      </c>
      <c r="B18" s="112"/>
      <c r="C18" s="112" t="s">
        <v>570</v>
      </c>
      <c r="D18" s="112">
        <v>1.07</v>
      </c>
      <c r="E18" s="112">
        <v>7.2</v>
      </c>
    </row>
    <row r="19" spans="1:5">
      <c r="A19" s="112" t="s">
        <v>552</v>
      </c>
      <c r="B19" s="112"/>
      <c r="C19" s="112" t="s">
        <v>571</v>
      </c>
      <c r="D19" s="112">
        <v>1.07</v>
      </c>
      <c r="E19" s="112">
        <v>7.2</v>
      </c>
    </row>
    <row r="20" spans="1:5">
      <c r="A20" s="113" t="s">
        <v>555</v>
      </c>
      <c r="B20" s="113" t="s">
        <v>558</v>
      </c>
      <c r="C20" s="113" t="s">
        <v>572</v>
      </c>
      <c r="D20" s="113">
        <v>1.22</v>
      </c>
      <c r="E20" s="113">
        <v>7.3</v>
      </c>
    </row>
    <row r="21" spans="1:5">
      <c r="A21" s="113" t="s">
        <v>555</v>
      </c>
      <c r="B21" s="113" t="s">
        <v>561</v>
      </c>
      <c r="C21" s="113" t="s">
        <v>573</v>
      </c>
      <c r="D21" s="113">
        <v>1.22</v>
      </c>
      <c r="E21" s="113">
        <v>7.3</v>
      </c>
    </row>
    <row r="22" spans="1:5">
      <c r="A22" s="114" t="s">
        <v>574</v>
      </c>
      <c r="B22" s="114" t="s">
        <v>575</v>
      </c>
      <c r="C22" s="114" t="s">
        <v>576</v>
      </c>
      <c r="D22" s="114">
        <v>1.2</v>
      </c>
      <c r="E22" s="114">
        <v>7.4</v>
      </c>
    </row>
    <row r="23" spans="1:5">
      <c r="A23" s="114" t="s">
        <v>574</v>
      </c>
      <c r="B23" s="114" t="s">
        <v>577</v>
      </c>
      <c r="C23" s="114" t="s">
        <v>578</v>
      </c>
      <c r="D23" s="114">
        <v>1.2</v>
      </c>
      <c r="E23" s="114">
        <v>7.4</v>
      </c>
    </row>
    <row r="24" spans="1:5">
      <c r="A24" s="114" t="s">
        <v>574</v>
      </c>
      <c r="B24" s="114" t="s">
        <v>579</v>
      </c>
      <c r="C24" s="114" t="s">
        <v>580</v>
      </c>
      <c r="D24" s="114">
        <v>1.2</v>
      </c>
      <c r="E24" s="114">
        <v>7.4</v>
      </c>
    </row>
    <row r="25" spans="1:5">
      <c r="A25" s="114" t="s">
        <v>574</v>
      </c>
      <c r="B25" s="114" t="s">
        <v>581</v>
      </c>
      <c r="C25" s="114" t="s">
        <v>582</v>
      </c>
      <c r="D25" s="114">
        <v>1.2</v>
      </c>
      <c r="E25" s="114">
        <v>7.4</v>
      </c>
    </row>
    <row r="26" spans="1:5">
      <c r="A26" s="114" t="s">
        <v>574</v>
      </c>
      <c r="B26" s="114" t="s">
        <v>583</v>
      </c>
      <c r="C26" s="114" t="s">
        <v>584</v>
      </c>
      <c r="D26" s="114">
        <v>1.2</v>
      </c>
      <c r="E26" s="114">
        <v>7.4</v>
      </c>
    </row>
    <row r="27" spans="1:5">
      <c r="A27" s="112" t="s">
        <v>551</v>
      </c>
      <c r="B27" s="112"/>
      <c r="C27" s="112">
        <v>71307</v>
      </c>
      <c r="D27" s="112">
        <v>1.1499999999999999</v>
      </c>
      <c r="E27" s="112">
        <v>7.5</v>
      </c>
    </row>
    <row r="28" spans="1:5">
      <c r="A28" s="112" t="s">
        <v>551</v>
      </c>
      <c r="B28" s="112"/>
      <c r="C28" s="112">
        <v>64548</v>
      </c>
      <c r="D28" s="112">
        <v>1.1499999999999999</v>
      </c>
      <c r="E28" s="112">
        <v>7.5</v>
      </c>
    </row>
    <row r="29" spans="1:5">
      <c r="A29" s="112" t="s">
        <v>551</v>
      </c>
      <c r="B29" s="112"/>
      <c r="C29" s="112">
        <v>2949</v>
      </c>
      <c r="D29" s="112">
        <v>1.1499999999999999</v>
      </c>
      <c r="E29" s="112">
        <v>7.5</v>
      </c>
    </row>
    <row r="30" spans="1:5">
      <c r="A30" s="112" t="s">
        <v>551</v>
      </c>
      <c r="B30" s="112"/>
      <c r="C30" s="112" t="s">
        <v>585</v>
      </c>
      <c r="D30" s="112">
        <v>1.1499999999999999</v>
      </c>
      <c r="E30" s="112">
        <v>7.5</v>
      </c>
    </row>
    <row r="31" spans="1:5">
      <c r="A31" s="114" t="s">
        <v>552</v>
      </c>
      <c r="B31" s="114"/>
      <c r="C31" s="114" t="s">
        <v>586</v>
      </c>
      <c r="D31" s="114">
        <v>1.2</v>
      </c>
      <c r="E31" s="114">
        <v>7.7</v>
      </c>
    </row>
    <row r="33" spans="1:4">
      <c r="A33" s="114" t="s">
        <v>587</v>
      </c>
      <c r="B33" s="115"/>
      <c r="C33" s="115"/>
      <c r="D33" s="115"/>
    </row>
    <row r="34" spans="1:4">
      <c r="A34" s="113" t="s">
        <v>588</v>
      </c>
      <c r="B34" s="116"/>
      <c r="C34" s="116"/>
      <c r="D34" s="116"/>
    </row>
  </sheetData>
  <sheetProtection algorithmName="SHA-512" hashValue="nDAb5FQL/fq1XAXldS+/BAnUSNEKLBaME/XHOLaUbB7FrvOyTFz5ihqnjGANGu8nQUPHEgB1TUsYYpguH1wMiQ==" saltValue="tzF+Nhq2YHDiou9twigfE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FBB2-55C7-454E-8EC0-46D66C3B59BE}">
  <sheetPr codeName="Sheet7">
    <tabColor theme="4" tint="0.39997558519241921"/>
  </sheetPr>
  <dimension ref="A1:AJ43"/>
  <sheetViews>
    <sheetView showGridLines="0" topLeftCell="C1" zoomScaleNormal="100" workbookViewId="0">
      <selection activeCell="D1" sqref="D1"/>
    </sheetView>
  </sheetViews>
  <sheetFormatPr defaultColWidth="0" defaultRowHeight="13.8"/>
  <cols>
    <col min="1" max="1" width="12.109375" style="120" hidden="1" customWidth="1"/>
    <col min="2" max="2" width="8" style="120" hidden="1" customWidth="1"/>
    <col min="3" max="3" width="7.88671875" style="120" customWidth="1"/>
    <col min="4" max="4" width="11.6640625" style="120" bestFit="1" customWidth="1"/>
    <col min="5" max="5" width="13.44140625" style="120" customWidth="1"/>
    <col min="6" max="6" width="15.88671875" style="120" bestFit="1" customWidth="1"/>
    <col min="7" max="7" width="23.6640625" style="120" customWidth="1"/>
    <col min="8" max="8" width="8" style="120" bestFit="1" customWidth="1"/>
    <col min="9" max="9" width="13" style="120" customWidth="1"/>
    <col min="10" max="10" width="12" style="120" customWidth="1"/>
    <col min="11" max="12" width="12.88671875" style="120" customWidth="1"/>
    <col min="13" max="13" width="1.88671875" style="6" customWidth="1"/>
    <col min="14" max="14" width="5.44140625" style="120" customWidth="1"/>
    <col min="15" max="17" width="14.44140625" style="120" customWidth="1"/>
    <col min="18" max="18" width="12.5546875" style="120" customWidth="1"/>
    <col min="19" max="19" width="11.6640625" style="120" hidden="1" customWidth="1"/>
    <col min="20" max="20" width="26.6640625" style="120" hidden="1" customWidth="1"/>
    <col min="21" max="32" width="12.6640625" style="120" hidden="1" customWidth="1"/>
    <col min="33" max="33" width="22.6640625" style="120" hidden="1" customWidth="1"/>
    <col min="34" max="34" width="9.109375" style="120" hidden="1" customWidth="1"/>
    <col min="35" max="35" width="13.6640625" style="120" hidden="1" customWidth="1"/>
    <col min="36" max="16384" width="10" style="120" hidden="1"/>
  </cols>
  <sheetData>
    <row r="1" spans="1:36" s="117" customFormat="1" ht="25.2">
      <c r="C1" s="30" t="s">
        <v>64</v>
      </c>
      <c r="D1" s="119"/>
      <c r="E1" s="119"/>
      <c r="F1" s="118"/>
      <c r="G1" s="118"/>
      <c r="M1" s="6"/>
    </row>
    <row r="2" spans="1:36" s="10" customFormat="1" ht="15" customHeight="1">
      <c r="A2" s="866" t="s">
        <v>118</v>
      </c>
      <c r="B2" s="866" t="s">
        <v>255</v>
      </c>
      <c r="C2" s="866" t="s">
        <v>589</v>
      </c>
      <c r="D2" s="867" t="s">
        <v>590</v>
      </c>
      <c r="E2" s="868"/>
      <c r="F2" s="868"/>
      <c r="G2" s="868"/>
      <c r="H2" s="868"/>
      <c r="I2" s="868"/>
      <c r="J2" s="868"/>
      <c r="K2" s="868"/>
      <c r="L2" s="142"/>
      <c r="M2" s="6"/>
      <c r="N2" s="868" t="s">
        <v>591</v>
      </c>
      <c r="O2" s="868"/>
      <c r="P2" s="868"/>
      <c r="Q2" s="868"/>
      <c r="S2" s="120"/>
      <c r="T2" s="120"/>
      <c r="U2" s="120"/>
      <c r="V2" s="120"/>
      <c r="W2" s="120"/>
      <c r="X2" s="120"/>
      <c r="Y2" s="120"/>
      <c r="Z2" s="120"/>
      <c r="AA2" s="120"/>
      <c r="AB2" s="120"/>
      <c r="AC2" s="120"/>
      <c r="AD2" s="120"/>
      <c r="AE2" s="120"/>
      <c r="AF2" s="120"/>
      <c r="AG2" s="120"/>
      <c r="AH2" s="120"/>
    </row>
    <row r="3" spans="1:36" s="127" customFormat="1" ht="66.75" customHeight="1">
      <c r="A3" s="866"/>
      <c r="B3" s="866"/>
      <c r="C3" s="866"/>
      <c r="D3" s="424" t="s">
        <v>592</v>
      </c>
      <c r="E3" s="424" t="s">
        <v>593</v>
      </c>
      <c r="F3" s="425" t="s">
        <v>99</v>
      </c>
      <c r="G3" s="425" t="s">
        <v>221</v>
      </c>
      <c r="H3" s="424" t="s">
        <v>594</v>
      </c>
      <c r="I3" s="425" t="s">
        <v>595</v>
      </c>
      <c r="J3" s="424" t="s">
        <v>596</v>
      </c>
      <c r="K3" s="424" t="s">
        <v>597</v>
      </c>
      <c r="L3" s="424" t="s">
        <v>598</v>
      </c>
      <c r="M3" s="6"/>
      <c r="N3" s="423" t="s">
        <v>599</v>
      </c>
      <c r="O3" s="423" t="s">
        <v>600</v>
      </c>
      <c r="P3" s="423" t="s">
        <v>6</v>
      </c>
      <c r="Q3" s="423" t="s">
        <v>601</v>
      </c>
      <c r="S3" s="120"/>
      <c r="T3" s="120"/>
      <c r="U3" s="120"/>
      <c r="V3" s="120"/>
      <c r="W3" s="120"/>
      <c r="X3" s="120"/>
      <c r="Y3" s="120"/>
      <c r="Z3" s="120"/>
      <c r="AA3" s="120"/>
      <c r="AB3" s="120"/>
      <c r="AC3" s="120"/>
      <c r="AD3" s="120"/>
      <c r="AE3" s="120"/>
      <c r="AF3" s="120"/>
      <c r="AG3" s="120"/>
      <c r="AH3" s="120"/>
    </row>
    <row r="4" spans="1:36" s="127" customFormat="1">
      <c r="A4" s="423"/>
      <c r="B4" s="426"/>
      <c r="C4" s="427" t="s">
        <v>602</v>
      </c>
      <c r="D4" s="428">
        <v>1</v>
      </c>
      <c r="E4" s="428">
        <v>1</v>
      </c>
      <c r="F4" s="428" t="s">
        <v>603</v>
      </c>
      <c r="G4" s="428" t="s">
        <v>604</v>
      </c>
      <c r="H4" s="428">
        <v>1</v>
      </c>
      <c r="I4" s="428">
        <v>100</v>
      </c>
      <c r="J4" s="428">
        <v>365</v>
      </c>
      <c r="K4" s="428">
        <v>5</v>
      </c>
      <c r="L4" s="429">
        <v>0.4</v>
      </c>
      <c r="M4" s="6"/>
      <c r="N4" s="428"/>
      <c r="O4" s="428">
        <v>102.35</v>
      </c>
      <c r="P4" s="428">
        <v>0</v>
      </c>
      <c r="Q4" s="430">
        <v>75</v>
      </c>
      <c r="S4" s="120"/>
      <c r="T4" s="120"/>
      <c r="U4" s="120"/>
      <c r="V4" s="120"/>
      <c r="W4" s="120"/>
      <c r="X4" s="120"/>
      <c r="Y4" s="120"/>
      <c r="Z4" s="120"/>
      <c r="AA4" s="120"/>
      <c r="AB4" s="120"/>
      <c r="AC4" s="120"/>
      <c r="AD4" s="120"/>
      <c r="AE4" s="120"/>
      <c r="AF4" s="120"/>
      <c r="AG4" s="120"/>
      <c r="AH4" s="120"/>
    </row>
    <row r="5" spans="1:36" s="10" customFormat="1">
      <c r="A5" s="431" t="str">
        <f>IF(Summary!$C$7="","",Summary!$C$7)</f>
        <v/>
      </c>
      <c r="B5" s="432">
        <f>IFERROR(IF(ISNUMBER(MATCH(Summary!$C$8,Lookups!$B$143:$B$196,0)),"Wilmington, DE",IF(ISNUMBER(MATCH(Summary!$C$8,Lookups!$C$143:$C$187,0)),"Dover, DE",0)),"")</f>
        <v>0</v>
      </c>
      <c r="C5" s="428">
        <v>1</v>
      </c>
      <c r="D5" s="433"/>
      <c r="E5" s="433"/>
      <c r="F5" s="869" t="s">
        <v>603</v>
      </c>
      <c r="G5" s="428" t="s">
        <v>604</v>
      </c>
      <c r="H5" s="435"/>
      <c r="I5" s="436"/>
      <c r="J5" s="437"/>
      <c r="K5" s="437"/>
      <c r="L5" s="438"/>
      <c r="M5" s="6"/>
      <c r="N5" s="439">
        <v>0</v>
      </c>
      <c r="O5" s="439">
        <f>W34</f>
        <v>0</v>
      </c>
      <c r="P5" s="439">
        <f t="shared" ref="P5:P10" si="0">AT49</f>
        <v>0</v>
      </c>
      <c r="Q5" s="430">
        <f>H5*'Incentive Levels'!F11</f>
        <v>0</v>
      </c>
      <c r="S5" s="120"/>
      <c r="T5" s="120"/>
      <c r="U5" s="120"/>
      <c r="V5" s="120"/>
      <c r="W5" s="120"/>
      <c r="X5" s="120"/>
      <c r="Y5" s="120"/>
      <c r="Z5" s="120"/>
      <c r="AA5" s="120"/>
      <c r="AB5" s="120"/>
      <c r="AC5" s="120"/>
      <c r="AD5" s="120"/>
      <c r="AE5" s="120"/>
      <c r="AF5" s="120"/>
      <c r="AG5" s="120"/>
      <c r="AH5" s="120"/>
      <c r="AJ5" s="128"/>
    </row>
    <row r="6" spans="1:36" s="10" customFormat="1">
      <c r="A6" s="431" t="str">
        <f>IF(Summary!$C$7="","",Summary!$C$7)</f>
        <v/>
      </c>
      <c r="B6" s="432">
        <f>IFERROR(IF(ISNUMBER(MATCH(Summary!$C$8,Lookups!$B$143:$B$196,0)),"Wilmington, DE",IF(ISNUMBER(MATCH(Summary!$C$8,Lookups!$C$143:$C$187,0)),"Dover, DE",0)),"")</f>
        <v>0</v>
      </c>
      <c r="C6" s="428">
        <v>2</v>
      </c>
      <c r="D6" s="433"/>
      <c r="E6" s="433"/>
      <c r="F6" s="870"/>
      <c r="G6" s="428" t="s">
        <v>131</v>
      </c>
      <c r="H6" s="435"/>
      <c r="I6" s="436"/>
      <c r="J6" s="437"/>
      <c r="K6" s="437"/>
      <c r="L6" s="438"/>
      <c r="M6" s="6"/>
      <c r="N6" s="439">
        <v>0</v>
      </c>
      <c r="O6" s="439">
        <f t="shared" ref="O6:O7" si="1">W35</f>
        <v>0</v>
      </c>
      <c r="P6" s="439">
        <f t="shared" si="0"/>
        <v>0</v>
      </c>
      <c r="Q6" s="430">
        <f>H6*'Incentive Levels'!F12</f>
        <v>0</v>
      </c>
      <c r="S6" s="120"/>
      <c r="T6" s="120"/>
      <c r="U6" s="120"/>
      <c r="V6" s="120"/>
      <c r="W6" s="120"/>
      <c r="X6" s="120"/>
      <c r="Y6" s="120"/>
      <c r="Z6" s="120"/>
      <c r="AA6" s="120"/>
      <c r="AB6" s="120"/>
      <c r="AC6" s="120"/>
      <c r="AD6" s="120"/>
      <c r="AE6" s="120"/>
      <c r="AF6" s="120"/>
      <c r="AG6" s="120"/>
      <c r="AH6" s="120"/>
      <c r="AJ6" s="128"/>
    </row>
    <row r="7" spans="1:36" s="10" customFormat="1">
      <c r="A7" s="431" t="str">
        <f>IF(Summary!$C$7="","",Summary!$C$7)</f>
        <v/>
      </c>
      <c r="B7" s="432">
        <f>IFERROR(IF(ISNUMBER(MATCH(Summary!$C$8,Lookups!$B$143:$B$196,0)),"Wilmington, DE",IF(ISNUMBER(MATCH(Summary!$C$8,Lookups!$C$143:$C$187,0)),"Dover, DE",0)),"")</f>
        <v>0</v>
      </c>
      <c r="C7" s="428">
        <v>3</v>
      </c>
      <c r="D7" s="433"/>
      <c r="E7" s="433"/>
      <c r="F7" s="871"/>
      <c r="G7" s="428" t="s">
        <v>605</v>
      </c>
      <c r="H7" s="435"/>
      <c r="I7" s="436"/>
      <c r="J7" s="437"/>
      <c r="K7" s="437"/>
      <c r="L7" s="438"/>
      <c r="M7" s="6"/>
      <c r="N7" s="439">
        <v>0</v>
      </c>
      <c r="O7" s="439">
        <f t="shared" si="1"/>
        <v>0</v>
      </c>
      <c r="P7" s="439">
        <f t="shared" si="0"/>
        <v>0</v>
      </c>
      <c r="Q7" s="430">
        <f>H7*'Incentive Levels'!F13</f>
        <v>0</v>
      </c>
      <c r="S7" s="120"/>
      <c r="T7" s="120"/>
      <c r="U7" s="120"/>
      <c r="V7" s="120"/>
      <c r="W7" s="120"/>
      <c r="X7" s="120"/>
      <c r="Y7" s="120"/>
      <c r="Z7" s="120"/>
      <c r="AA7" s="120"/>
      <c r="AB7" s="120"/>
      <c r="AC7" s="120"/>
      <c r="AD7" s="120"/>
      <c r="AE7" s="120"/>
      <c r="AF7" s="120"/>
      <c r="AG7" s="120"/>
      <c r="AH7" s="120"/>
      <c r="AJ7" s="128"/>
    </row>
    <row r="8" spans="1:36" s="10" customFormat="1">
      <c r="A8" s="431" t="str">
        <f>IF(Summary!$C$7="","",Summary!$C$7)</f>
        <v/>
      </c>
      <c r="B8" s="432">
        <f>IFERROR(IF(ISNUMBER(MATCH(Summary!$C$8,Lookups!$B$143:$B$196,0)),"Wilmington, DE",IF(ISNUMBER(MATCH(Summary!$C$8,Lookups!$C$143:$C$187,0)),"Dover, DE",0)),"")</f>
        <v>0</v>
      </c>
      <c r="C8" s="428">
        <v>4</v>
      </c>
      <c r="D8" s="433"/>
      <c r="E8" s="433"/>
      <c r="F8" s="869" t="s">
        <v>155</v>
      </c>
      <c r="G8" s="428" t="s">
        <v>604</v>
      </c>
      <c r="H8" s="435"/>
      <c r="I8" s="436"/>
      <c r="J8" s="437"/>
      <c r="K8" s="437"/>
      <c r="L8" s="438"/>
      <c r="N8" s="439">
        <v>0</v>
      </c>
      <c r="O8" s="439">
        <f>Z34</f>
        <v>0</v>
      </c>
      <c r="P8" s="439">
        <f t="shared" si="0"/>
        <v>0</v>
      </c>
      <c r="Q8" s="430">
        <f>H8*'Incentive Levels'!F11</f>
        <v>0</v>
      </c>
      <c r="S8" s="120"/>
      <c r="T8" s="120"/>
      <c r="U8" s="120"/>
      <c r="V8" s="120"/>
      <c r="W8" s="120"/>
      <c r="X8" s="120"/>
      <c r="Y8" s="120"/>
      <c r="Z8" s="120"/>
      <c r="AA8" s="120"/>
      <c r="AB8" s="120"/>
      <c r="AC8" s="120"/>
      <c r="AD8" s="120"/>
      <c r="AE8" s="120"/>
      <c r="AF8" s="120"/>
      <c r="AG8" s="120"/>
      <c r="AH8" s="120"/>
      <c r="AJ8" s="128"/>
    </row>
    <row r="9" spans="1:36" s="10" customFormat="1">
      <c r="A9" s="431" t="str">
        <f>IF(Summary!$C$7="","",Summary!$C$7)</f>
        <v/>
      </c>
      <c r="B9" s="432">
        <f>IFERROR(IF(ISNUMBER(MATCH(Summary!$C$8,Lookups!$B$143:$B$196,0)),"Wilmington, DE",IF(ISNUMBER(MATCH(Summary!$C$8,Lookups!$C$143:$C$187,0)),"Dover, DE",0)),"")</f>
        <v>0</v>
      </c>
      <c r="C9" s="428">
        <v>5</v>
      </c>
      <c r="D9" s="433"/>
      <c r="E9" s="433"/>
      <c r="F9" s="870"/>
      <c r="G9" s="428" t="s">
        <v>131</v>
      </c>
      <c r="H9" s="435"/>
      <c r="I9" s="436"/>
      <c r="J9" s="437"/>
      <c r="K9" s="437"/>
      <c r="L9" s="438"/>
      <c r="M9" s="6"/>
      <c r="N9" s="439">
        <v>0</v>
      </c>
      <c r="O9" s="439">
        <f t="shared" ref="O9:O10" si="2">Z35</f>
        <v>0</v>
      </c>
      <c r="P9" s="439">
        <f t="shared" si="0"/>
        <v>0</v>
      </c>
      <c r="Q9" s="430">
        <f>H9*'Incentive Levels'!F12</f>
        <v>0</v>
      </c>
      <c r="S9" s="120"/>
      <c r="T9" s="120"/>
      <c r="U9" s="120"/>
      <c r="V9" s="120"/>
      <c r="W9" s="120"/>
      <c r="X9" s="120"/>
      <c r="Y9" s="120"/>
      <c r="Z9" s="120"/>
      <c r="AA9" s="120"/>
      <c r="AB9" s="120"/>
      <c r="AC9" s="120"/>
      <c r="AD9" s="120"/>
      <c r="AE9" s="120"/>
      <c r="AF9" s="120"/>
      <c r="AG9" s="120"/>
      <c r="AH9" s="120"/>
      <c r="AJ9" s="128"/>
    </row>
    <row r="10" spans="1:36" s="10" customFormat="1">
      <c r="A10" s="431" t="str">
        <f>IF(Summary!$C$7="","",Summary!$C$7)</f>
        <v/>
      </c>
      <c r="B10" s="432">
        <f>IFERROR(IF(ISNUMBER(MATCH(Summary!$C$8,Lookups!$B$143:$B$196,0)),"Wilmington, DE",IF(ISNUMBER(MATCH(Summary!$C$8,Lookups!$C$143:$C$187,0)),"Dover, DE",0)),"")</f>
        <v>0</v>
      </c>
      <c r="C10" s="428">
        <v>6</v>
      </c>
      <c r="D10" s="433"/>
      <c r="E10" s="433"/>
      <c r="F10" s="871"/>
      <c r="G10" s="428" t="s">
        <v>605</v>
      </c>
      <c r="H10" s="435"/>
      <c r="I10" s="436"/>
      <c r="J10" s="437"/>
      <c r="K10" s="437"/>
      <c r="L10" s="438"/>
      <c r="M10" s="6"/>
      <c r="N10" s="439">
        <v>0</v>
      </c>
      <c r="O10" s="439">
        <f t="shared" si="2"/>
        <v>0</v>
      </c>
      <c r="P10" s="439">
        <f t="shared" si="0"/>
        <v>0</v>
      </c>
      <c r="Q10" s="430">
        <f>H10*'Incentive Levels'!F13</f>
        <v>0</v>
      </c>
      <c r="S10" s="120"/>
      <c r="T10" s="120"/>
      <c r="U10" s="120"/>
      <c r="V10" s="120"/>
      <c r="W10" s="120"/>
      <c r="X10" s="120"/>
      <c r="Y10" s="120"/>
      <c r="Z10" s="120"/>
      <c r="AA10" s="120"/>
      <c r="AB10" s="120"/>
      <c r="AC10" s="120"/>
      <c r="AD10" s="120"/>
      <c r="AE10" s="120"/>
      <c r="AF10" s="120"/>
      <c r="AG10" s="120"/>
      <c r="AH10" s="120"/>
      <c r="AJ10" s="128"/>
    </row>
    <row r="11" spans="1:36" s="10" customFormat="1">
      <c r="C11" s="124" t="s">
        <v>606</v>
      </c>
      <c r="D11" s="129"/>
      <c r="E11" s="129"/>
      <c r="F11" s="129"/>
      <c r="G11" s="129"/>
      <c r="M11" s="6"/>
    </row>
    <row r="12" spans="1:36" s="10" customFormat="1">
      <c r="C12" s="131"/>
      <c r="D12" s="129"/>
      <c r="E12" s="129"/>
      <c r="F12" s="129"/>
      <c r="G12" s="129"/>
      <c r="M12" s="6"/>
      <c r="S12" s="143" t="s">
        <v>607</v>
      </c>
    </row>
    <row r="13" spans="1:36" ht="14.4">
      <c r="C13" s="120" t="s">
        <v>608</v>
      </c>
      <c r="S13" s="872"/>
      <c r="T13" s="873"/>
      <c r="U13" s="861" t="s">
        <v>609</v>
      </c>
      <c r="V13" s="862"/>
      <c r="W13" s="862"/>
      <c r="X13" s="844"/>
      <c r="Y13" s="844"/>
      <c r="Z13" s="844"/>
      <c r="AA13" s="861" t="s">
        <v>610</v>
      </c>
      <c r="AB13" s="862"/>
      <c r="AC13" s="862"/>
      <c r="AD13" s="844"/>
      <c r="AE13" s="844"/>
      <c r="AF13" s="844"/>
      <c r="AG13" s="863"/>
    </row>
    <row r="14" spans="1:36" ht="14.4">
      <c r="S14" s="874"/>
      <c r="T14" s="875"/>
      <c r="U14" s="850" t="s">
        <v>603</v>
      </c>
      <c r="V14" s="864"/>
      <c r="W14" s="865"/>
      <c r="X14" s="850" t="s">
        <v>155</v>
      </c>
      <c r="Y14" s="864"/>
      <c r="Z14" s="865"/>
      <c r="AA14" s="850" t="s">
        <v>603</v>
      </c>
      <c r="AB14" s="864"/>
      <c r="AC14" s="865"/>
      <c r="AD14" s="850" t="s">
        <v>155</v>
      </c>
      <c r="AE14" s="864"/>
      <c r="AF14" s="865"/>
      <c r="AG14" s="863"/>
    </row>
    <row r="15" spans="1:36" ht="60" customHeight="1">
      <c r="S15" s="876"/>
      <c r="T15" s="877"/>
      <c r="U15" s="445" t="s">
        <v>604</v>
      </c>
      <c r="V15" s="445" t="s">
        <v>611</v>
      </c>
      <c r="W15" s="445" t="s">
        <v>605</v>
      </c>
      <c r="X15" s="445" t="s">
        <v>604</v>
      </c>
      <c r="Y15" s="445" t="s">
        <v>611</v>
      </c>
      <c r="Z15" s="445" t="s">
        <v>605</v>
      </c>
      <c r="AA15" s="445" t="s">
        <v>604</v>
      </c>
      <c r="AB15" s="445" t="s">
        <v>611</v>
      </c>
      <c r="AC15" s="445" t="s">
        <v>605</v>
      </c>
      <c r="AD15" s="445" t="s">
        <v>604</v>
      </c>
      <c r="AE15" s="445" t="s">
        <v>611</v>
      </c>
      <c r="AF15" s="445" t="s">
        <v>605</v>
      </c>
      <c r="AG15" s="862"/>
    </row>
    <row r="16" spans="1:36" ht="14.4">
      <c r="S16" s="859" t="s">
        <v>612</v>
      </c>
      <c r="T16" s="860"/>
      <c r="U16" s="446">
        <v>650</v>
      </c>
      <c r="V16" s="446">
        <v>1150</v>
      </c>
      <c r="W16" s="446">
        <v>170</v>
      </c>
      <c r="X16" s="446">
        <v>680</v>
      </c>
      <c r="Y16" s="446">
        <v>1170</v>
      </c>
      <c r="Z16" s="446">
        <v>240</v>
      </c>
      <c r="AA16" s="446">
        <f>I5</f>
        <v>0</v>
      </c>
      <c r="AB16" s="446">
        <f>I6</f>
        <v>0</v>
      </c>
      <c r="AC16" s="446">
        <f>I7</f>
        <v>0</v>
      </c>
      <c r="AD16" s="446">
        <f>I8</f>
        <v>0</v>
      </c>
      <c r="AE16" s="446">
        <f>I9</f>
        <v>0</v>
      </c>
      <c r="AF16" s="446">
        <f>I10</f>
        <v>0</v>
      </c>
      <c r="AG16" s="447" t="s">
        <v>613</v>
      </c>
    </row>
    <row r="17" spans="4:33" ht="14.4">
      <c r="S17" s="859" t="s">
        <v>614</v>
      </c>
      <c r="T17" s="860"/>
      <c r="U17" s="448">
        <v>18.3</v>
      </c>
      <c r="V17" s="448">
        <v>18</v>
      </c>
      <c r="W17" s="448">
        <v>19.5</v>
      </c>
      <c r="X17" s="448">
        <v>12</v>
      </c>
      <c r="Y17" s="448">
        <v>12</v>
      </c>
      <c r="Z17" s="448">
        <v>12</v>
      </c>
      <c r="AA17" s="448">
        <f>K5</f>
        <v>0</v>
      </c>
      <c r="AB17" s="448">
        <f>K6</f>
        <v>0</v>
      </c>
      <c r="AC17" s="448">
        <f>K7</f>
        <v>0</v>
      </c>
      <c r="AD17" s="448">
        <f>K8</f>
        <v>0</v>
      </c>
      <c r="AE17" s="448">
        <f>K9</f>
        <v>0</v>
      </c>
      <c r="AF17" s="448">
        <f>K10</f>
        <v>0</v>
      </c>
      <c r="AG17" s="449" t="s">
        <v>615</v>
      </c>
    </row>
    <row r="18" spans="4:33" ht="14.4">
      <c r="S18" s="859" t="s">
        <v>616</v>
      </c>
      <c r="T18" s="860"/>
      <c r="U18" s="446">
        <v>365</v>
      </c>
      <c r="V18" s="446">
        <v>365</v>
      </c>
      <c r="W18" s="446">
        <v>365</v>
      </c>
      <c r="X18" s="446">
        <v>365</v>
      </c>
      <c r="Y18" s="446">
        <v>365</v>
      </c>
      <c r="Z18" s="446">
        <v>365</v>
      </c>
      <c r="AA18" s="446">
        <f>J5</f>
        <v>0</v>
      </c>
      <c r="AB18" s="446">
        <f>J6</f>
        <v>0</v>
      </c>
      <c r="AC18" s="446">
        <f>J7</f>
        <v>0</v>
      </c>
      <c r="AD18" s="446">
        <f>J8</f>
        <v>0</v>
      </c>
      <c r="AE18" s="446">
        <f>J9</f>
        <v>0</v>
      </c>
      <c r="AF18" s="446">
        <f>J10</f>
        <v>0</v>
      </c>
      <c r="AG18" s="441" t="s">
        <v>617</v>
      </c>
    </row>
    <row r="19" spans="4:33" ht="14.4">
      <c r="S19" s="859"/>
      <c r="T19" s="860"/>
      <c r="U19" s="446"/>
      <c r="V19" s="446"/>
      <c r="W19" s="446"/>
      <c r="X19" s="446"/>
      <c r="Y19" s="446"/>
      <c r="Z19" s="446"/>
      <c r="AA19" s="446"/>
      <c r="AB19" s="446"/>
      <c r="AC19" s="446"/>
      <c r="AD19" s="446"/>
      <c r="AE19" s="446"/>
      <c r="AF19" s="446"/>
      <c r="AG19" s="450"/>
    </row>
    <row r="20" spans="4:33" ht="15" customHeight="1">
      <c r="D20" s="122"/>
      <c r="E20" s="122"/>
      <c r="F20" s="122"/>
      <c r="G20" s="122"/>
      <c r="H20" s="122"/>
      <c r="S20" s="121"/>
    </row>
    <row r="21" spans="4:33" ht="15" customHeight="1">
      <c r="D21" s="122"/>
      <c r="E21" s="122"/>
      <c r="F21" s="122"/>
      <c r="G21" s="122"/>
      <c r="H21" s="122"/>
      <c r="S21" s="143" t="s">
        <v>618</v>
      </c>
    </row>
    <row r="22" spans="4:33" ht="60" customHeight="1">
      <c r="D22" s="122"/>
      <c r="E22" s="122"/>
      <c r="F22" s="122"/>
      <c r="G22" s="122"/>
      <c r="H22" s="122"/>
      <c r="S22" s="849"/>
      <c r="T22" s="844"/>
      <c r="U22" s="855" t="s">
        <v>619</v>
      </c>
      <c r="V22" s="445" t="s">
        <v>620</v>
      </c>
      <c r="W22" s="445" t="s">
        <v>621</v>
      </c>
      <c r="X22" s="857" t="s">
        <v>622</v>
      </c>
      <c r="Y22" s="857"/>
      <c r="Z22" s="857" t="s">
        <v>623</v>
      </c>
      <c r="AA22" s="857"/>
      <c r="AB22" s="857" t="s">
        <v>624</v>
      </c>
    </row>
    <row r="23" spans="4:33">
      <c r="D23" s="122"/>
      <c r="E23" s="122"/>
      <c r="F23" s="122"/>
      <c r="G23" s="122"/>
      <c r="H23" s="122"/>
      <c r="S23" s="844"/>
      <c r="T23" s="844"/>
      <c r="U23" s="856"/>
      <c r="V23" s="453" t="s">
        <v>625</v>
      </c>
      <c r="W23" s="453" t="s">
        <v>625</v>
      </c>
      <c r="X23" s="453" t="s">
        <v>625</v>
      </c>
      <c r="Y23" s="453" t="s">
        <v>626</v>
      </c>
      <c r="Z23" s="453" t="s">
        <v>625</v>
      </c>
      <c r="AA23" s="453" t="s">
        <v>626</v>
      </c>
      <c r="AB23" s="858"/>
    </row>
    <row r="24" spans="4:33" ht="20.100000000000001" customHeight="1">
      <c r="D24" s="122"/>
      <c r="E24" s="122"/>
      <c r="F24" s="122"/>
      <c r="G24" s="122"/>
      <c r="H24" s="122"/>
      <c r="S24" s="845" t="s">
        <v>603</v>
      </c>
      <c r="T24" s="454" t="s">
        <v>604</v>
      </c>
      <c r="U24" s="455">
        <f t="shared" ref="U24:U29" si="3">L5</f>
        <v>0</v>
      </c>
      <c r="V24" s="456">
        <f>AA16</f>
        <v>0</v>
      </c>
      <c r="W24" s="457">
        <v>21.8</v>
      </c>
      <c r="X24" s="456">
        <f>V24*AA18*U24</f>
        <v>0</v>
      </c>
      <c r="Y24" s="456">
        <f>AA16*AA18*U24</f>
        <v>0</v>
      </c>
      <c r="Z24" s="448">
        <f>IF((AA16&lt;300),(10-0.01233*AA16),IF(AND(AA16&gt;=300,AA16&lt;800),(7.05-0.0025*AA16),IF(AND(AA16&gt;=800,AA16&lt;1500),5.55-0.0063*AA16,IF(AND(AA16&gt;=1500,AA16&lt;=4000),4.61,#N/A))))</f>
        <v>10</v>
      </c>
      <c r="AA24" s="448">
        <f>IF((AA16&lt;300),(9.2-(0.01134*AA16)),IF(AND(AA16&gt;=300,AA16&lt;800),6.49-(0.0023*AA16),IF(AND(AA16&gt;=800,AA16&lt;1500),5.11-(0.00058*AA16),IF(AND(AA16&gt;=1500,AA16&lt;=4000),4.24,#N/A))))</f>
        <v>9.1999999999999993</v>
      </c>
      <c r="AB24" s="446">
        <v>10</v>
      </c>
    </row>
    <row r="25" spans="4:33">
      <c r="S25" s="846"/>
      <c r="T25" s="454" t="s">
        <v>611</v>
      </c>
      <c r="U25" s="455">
        <f t="shared" si="3"/>
        <v>0</v>
      </c>
      <c r="V25" s="456">
        <f>AB16</f>
        <v>0</v>
      </c>
      <c r="W25" s="457">
        <v>20.100000000000001</v>
      </c>
      <c r="X25" s="456">
        <f>V25*AB18*U25</f>
        <v>0</v>
      </c>
      <c r="Y25" s="456">
        <f>AB16*AB18*U25</f>
        <v>0</v>
      </c>
      <c r="Z25" s="448">
        <f>IF(V25&lt;1000,7.97-0.00342*V25,4.55)</f>
        <v>7.97</v>
      </c>
      <c r="AA25" s="448">
        <f>IF(AB16&lt;988,7.17-0.00308*AB16,4.13)</f>
        <v>7.17</v>
      </c>
      <c r="AB25" s="446">
        <v>10</v>
      </c>
    </row>
    <row r="26" spans="4:33">
      <c r="S26" s="846"/>
      <c r="T26" s="454" t="s">
        <v>605</v>
      </c>
      <c r="U26" s="455">
        <f t="shared" si="3"/>
        <v>0</v>
      </c>
      <c r="V26" s="456">
        <f>AC16</f>
        <v>0</v>
      </c>
      <c r="W26" s="457">
        <v>30.1</v>
      </c>
      <c r="X26" s="456">
        <f>V26*AC18*U26</f>
        <v>0</v>
      </c>
      <c r="Y26" s="456">
        <f>AC16*AC18*U26</f>
        <v>0</v>
      </c>
      <c r="Z26" s="448">
        <f>IF((AC16&lt;110),(14.79-(0.0469*AC16)),IF(AND(AC16&gt;=110,AC16&lt;200),12.42-(0.02533*AC16),IF(AND(AC16&gt;=200,AC16&lt;=4000),7.35,#N/A)))</f>
        <v>14.79</v>
      </c>
      <c r="AA26" s="448">
        <f>IF((AC16&lt;110),(12.57-(0.0399*AC16)),IF(AND(AC16&gt;=110,AC16&lt;200),10.56-(0.0215*AC16),IF(AND(AC16&gt;=200,AC16&lt;=4000),6.25,#N/A)))</f>
        <v>12.57</v>
      </c>
      <c r="AB26" s="446">
        <v>10</v>
      </c>
    </row>
    <row r="27" spans="4:33" ht="24" customHeight="1">
      <c r="S27" s="845" t="s">
        <v>155</v>
      </c>
      <c r="T27" s="454" t="s">
        <v>604</v>
      </c>
      <c r="U27" s="455">
        <f t="shared" si="3"/>
        <v>0</v>
      </c>
      <c r="V27" s="456">
        <f>AD16</f>
        <v>0</v>
      </c>
      <c r="W27" s="457">
        <v>12</v>
      </c>
      <c r="X27" s="456">
        <f>V27*AD18*U27</f>
        <v>0</v>
      </c>
      <c r="Y27" s="456">
        <f>AD16*AD18*U27</f>
        <v>0</v>
      </c>
      <c r="Z27" s="448">
        <f>IF((AD16&lt;310),(9.19-(0.00629*AD16)),IF(AND(AD16&gt;=310,AD16&lt;820),8.23-(0.0032*AD16),IF(AND(AD16&gt;=820,AD16&lt;=4000),5.61,#N/A)))</f>
        <v>9.19</v>
      </c>
      <c r="AA27" s="448">
        <f>IF((AD16&lt;310),(7.9-(0.005409*AD16)),IF(AND(AD16&gt;=310,AD16&lt;820),7.08-(0.002752*AD16),IF(AND(AD16&gt;=820,AD16&lt;=4000),4.82,#N/A)))</f>
        <v>7.9</v>
      </c>
      <c r="AB27" s="446">
        <v>10</v>
      </c>
    </row>
    <row r="28" spans="4:33">
      <c r="S28" s="846"/>
      <c r="T28" s="454" t="s">
        <v>611</v>
      </c>
      <c r="U28" s="455">
        <f t="shared" si="3"/>
        <v>0</v>
      </c>
      <c r="V28" s="456">
        <f>AE16</f>
        <v>0</v>
      </c>
      <c r="W28" s="457">
        <v>12</v>
      </c>
      <c r="X28" s="456">
        <f>V28*AE18*U28</f>
        <v>0</v>
      </c>
      <c r="Y28" s="456">
        <f>AE16*AE18*U28</f>
        <v>0</v>
      </c>
      <c r="Z28" s="448">
        <f>IF(AE16&lt;800,9.7-0.0059*AE16,5.06)</f>
        <v>9.6999999999999993</v>
      </c>
      <c r="AA28" s="448">
        <f>IF(AE16&lt;800,7.76-0.00464*AE16,4.05)</f>
        <v>7.76</v>
      </c>
      <c r="AB28" s="446">
        <v>10</v>
      </c>
    </row>
    <row r="29" spans="4:33">
      <c r="S29" s="846"/>
      <c r="T29" s="454" t="s">
        <v>605</v>
      </c>
      <c r="U29" s="455">
        <f t="shared" si="3"/>
        <v>0</v>
      </c>
      <c r="V29" s="456">
        <f>AF16</f>
        <v>0</v>
      </c>
      <c r="W29" s="457">
        <v>12</v>
      </c>
      <c r="X29" s="456">
        <f>V29*AF18*U29</f>
        <v>0</v>
      </c>
      <c r="Y29" s="456">
        <f>AF16*AF18*U29</f>
        <v>0</v>
      </c>
      <c r="Z29" s="448">
        <f>IF((AF16&lt;200),(14.22-(0.03*AF16)),IF(AND(AF16&gt;=200,AF16&lt;700),9.47-(0.00624*AF16),IF(AND(AF16&gt;=700,AF16&lt;=4000),5.1,#N/A)))</f>
        <v>14.22</v>
      </c>
      <c r="AA29" s="448">
        <f>IF((AF16&lt;200),(12.37-(0.0261*AF16)),IF(AND(AF16&gt;=200,AF16&lt;700),8.24-(0.005429*AF16),IF(AND(AF16&gt;=700,AF16&lt;=4000),4.44,#N/A)))</f>
        <v>12.37</v>
      </c>
      <c r="AB29" s="446">
        <v>10</v>
      </c>
    </row>
    <row r="30" spans="4:33">
      <c r="S30" s="144"/>
      <c r="T30" s="145"/>
      <c r="U30" s="146"/>
      <c r="V30" s="147"/>
      <c r="W30" s="147"/>
      <c r="X30" s="147"/>
      <c r="Y30" s="147"/>
      <c r="Z30" s="147"/>
      <c r="AA30" s="147"/>
      <c r="AB30" s="147"/>
    </row>
    <row r="31" spans="4:33">
      <c r="S31" s="143" t="s">
        <v>627</v>
      </c>
    </row>
    <row r="32" spans="4:33" ht="15" customHeight="1">
      <c r="S32" s="849"/>
      <c r="T32" s="844"/>
      <c r="U32" s="850" t="s">
        <v>603</v>
      </c>
      <c r="V32" s="851"/>
      <c r="W32" s="852"/>
      <c r="X32" s="850" t="s">
        <v>155</v>
      </c>
      <c r="Y32" s="851"/>
      <c r="Z32" s="852"/>
      <c r="AA32" s="853" t="s">
        <v>628</v>
      </c>
      <c r="AB32" s="847"/>
    </row>
    <row r="33" spans="19:28">
      <c r="S33" s="849"/>
      <c r="T33" s="844"/>
      <c r="U33" s="451" t="s">
        <v>625</v>
      </c>
      <c r="V33" s="451" t="s">
        <v>626</v>
      </c>
      <c r="W33" s="451" t="s">
        <v>2</v>
      </c>
      <c r="X33" s="451" t="s">
        <v>625</v>
      </c>
      <c r="Y33" s="451" t="s">
        <v>626</v>
      </c>
      <c r="Z33" s="451" t="s">
        <v>2</v>
      </c>
      <c r="AA33" s="854"/>
      <c r="AB33" s="848"/>
    </row>
    <row r="34" spans="19:28" ht="14.4">
      <c r="S34" s="843" t="s">
        <v>604</v>
      </c>
      <c r="T34" s="844"/>
      <c r="U34" s="456">
        <f>Z24*X24/100</f>
        <v>0</v>
      </c>
      <c r="V34" s="456">
        <f>AA24*Y24/100</f>
        <v>0</v>
      </c>
      <c r="W34" s="456">
        <f>H5*(U34-V34)</f>
        <v>0</v>
      </c>
      <c r="X34" s="456">
        <f t="shared" ref="X34:Y36" si="4">Z27*X27/100</f>
        <v>0</v>
      </c>
      <c r="Y34" s="456">
        <f t="shared" si="4"/>
        <v>0</v>
      </c>
      <c r="Z34" s="456">
        <f>H8*(X34-Y34)</f>
        <v>0</v>
      </c>
      <c r="AA34" s="458">
        <f>IF(SUM(W34,Z34)=0,0,SUM(H5,H8)*'Incentive Levels'!F11)</f>
        <v>0</v>
      </c>
      <c r="AB34" s="459" t="s">
        <v>5</v>
      </c>
    </row>
    <row r="35" spans="19:28" ht="14.4">
      <c r="S35" s="843" t="s">
        <v>611</v>
      </c>
      <c r="T35" s="844"/>
      <c r="U35" s="456">
        <f t="shared" ref="U35:V36" si="5">Z25*X25/100</f>
        <v>0</v>
      </c>
      <c r="V35" s="456">
        <f t="shared" si="5"/>
        <v>0</v>
      </c>
      <c r="W35" s="456">
        <f t="shared" ref="W35:W36" si="6">H6*(U35-V35)</f>
        <v>0</v>
      </c>
      <c r="X35" s="456">
        <f t="shared" si="4"/>
        <v>0</v>
      </c>
      <c r="Y35" s="456">
        <f t="shared" si="4"/>
        <v>0</v>
      </c>
      <c r="Z35" s="456">
        <f t="shared" ref="Z35:Z36" si="7">H9*(X35-Y35)</f>
        <v>0</v>
      </c>
      <c r="AA35" s="458">
        <f>IF(SUM(W35,Z35)=0,0,SUM(H6,H9)*'Incentive Levels'!F12)</f>
        <v>0</v>
      </c>
      <c r="AB35" s="459" t="s">
        <v>5</v>
      </c>
    </row>
    <row r="36" spans="19:28" ht="14.4">
      <c r="S36" s="843" t="s">
        <v>605</v>
      </c>
      <c r="T36" s="844"/>
      <c r="U36" s="456">
        <f t="shared" si="5"/>
        <v>0</v>
      </c>
      <c r="V36" s="456">
        <f t="shared" si="5"/>
        <v>0</v>
      </c>
      <c r="W36" s="456">
        <f t="shared" si="6"/>
        <v>0</v>
      </c>
      <c r="X36" s="456">
        <f t="shared" si="4"/>
        <v>0</v>
      </c>
      <c r="Y36" s="456">
        <f t="shared" si="4"/>
        <v>0</v>
      </c>
      <c r="Z36" s="456">
        <f t="shared" si="7"/>
        <v>0</v>
      </c>
      <c r="AA36" s="458">
        <f>IF(SUM(W36,Z36)=0,0,SUM(H7,H10)*'Incentive Levels'!F13)</f>
        <v>0</v>
      </c>
      <c r="AB36" s="459" t="s">
        <v>5</v>
      </c>
    </row>
    <row r="37" spans="19:28" ht="14.4">
      <c r="S37" s="148"/>
      <c r="T37"/>
      <c r="U37" s="147"/>
      <c r="V37" s="147"/>
      <c r="W37" s="147"/>
      <c r="X37" s="147"/>
      <c r="Y37" s="147"/>
      <c r="Z37" s="147"/>
      <c r="AA37" s="149"/>
    </row>
    <row r="38" spans="19:28">
      <c r="S38" s="143" t="s">
        <v>629</v>
      </c>
    </row>
    <row r="39" spans="19:28">
      <c r="S39" s="849"/>
      <c r="T39" s="844"/>
      <c r="U39" s="850" t="s">
        <v>603</v>
      </c>
      <c r="V39" s="851"/>
      <c r="W39" s="852"/>
      <c r="X39" s="850" t="s">
        <v>155</v>
      </c>
      <c r="Y39" s="851"/>
      <c r="Z39" s="852"/>
      <c r="AA39" s="847"/>
    </row>
    <row r="40" spans="19:28">
      <c r="S40" s="849"/>
      <c r="T40" s="844"/>
      <c r="U40" s="451" t="s">
        <v>625</v>
      </c>
      <c r="V40" s="451" t="s">
        <v>626</v>
      </c>
      <c r="W40" s="451" t="s">
        <v>2</v>
      </c>
      <c r="X40" s="451" t="s">
        <v>625</v>
      </c>
      <c r="Y40" s="451" t="s">
        <v>626</v>
      </c>
      <c r="Z40" s="451" t="s">
        <v>2</v>
      </c>
      <c r="AA40" s="848"/>
    </row>
    <row r="41" spans="19:28" ht="14.4">
      <c r="S41" s="843" t="s">
        <v>604</v>
      </c>
      <c r="T41" s="844"/>
      <c r="U41" s="456">
        <f>W24*X24/100</f>
        <v>0</v>
      </c>
      <c r="V41" s="456">
        <f>AA17*Y24/100</f>
        <v>0</v>
      </c>
      <c r="W41" s="456">
        <f>H5*(U41-V41)</f>
        <v>0</v>
      </c>
      <c r="X41" s="456">
        <f>W27*X27/100</f>
        <v>0</v>
      </c>
      <c r="Y41" s="456">
        <f>AD17*Y27/100</f>
        <v>0</v>
      </c>
      <c r="Z41" s="456">
        <f>H8*(X41-Y41)</f>
        <v>0</v>
      </c>
      <c r="AA41" s="459" t="s">
        <v>630</v>
      </c>
    </row>
    <row r="42" spans="19:28" ht="14.4">
      <c r="S42" s="843" t="s">
        <v>611</v>
      </c>
      <c r="T42" s="844"/>
      <c r="U42" s="456">
        <f>W25*X25/100</f>
        <v>0</v>
      </c>
      <c r="V42" s="456">
        <f>AB17*Y25/100</f>
        <v>0</v>
      </c>
      <c r="W42" s="456">
        <f t="shared" ref="W42:W43" si="8">H6*(U42-V42)</f>
        <v>0</v>
      </c>
      <c r="X42" s="456">
        <f>W28*X28/100</f>
        <v>0</v>
      </c>
      <c r="Y42" s="456">
        <f>AE17*Y28/100</f>
        <v>0</v>
      </c>
      <c r="Z42" s="456">
        <f t="shared" ref="Z42:Z43" si="9">H9*(X42-Y42)</f>
        <v>0</v>
      </c>
      <c r="AA42" s="459" t="s">
        <v>630</v>
      </c>
    </row>
    <row r="43" spans="19:28" ht="14.4">
      <c r="S43" s="843" t="s">
        <v>605</v>
      </c>
      <c r="T43" s="844"/>
      <c r="U43" s="456">
        <f>W26*X26/100</f>
        <v>0</v>
      </c>
      <c r="V43" s="456">
        <f>AC17*Y26/100</f>
        <v>0</v>
      </c>
      <c r="W43" s="456">
        <f t="shared" si="8"/>
        <v>0</v>
      </c>
      <c r="X43" s="456">
        <f>W29*X29/100</f>
        <v>0</v>
      </c>
      <c r="Y43" s="456">
        <f>AF17*Y29/100</f>
        <v>0</v>
      </c>
      <c r="Z43" s="456">
        <f t="shared" si="9"/>
        <v>0</v>
      </c>
      <c r="AA43" s="459" t="s">
        <v>630</v>
      </c>
    </row>
  </sheetData>
  <sheetProtection algorithmName="SHA-512" hashValue="ZyWl0xxR6AqzzmliSclU8FETfUG6oz1fzi9vy0tKosiW89FpRsmyeVP1fpEor+PRGDaNKpUY4i3IPNlQC8O9kQ==" saltValue="dKin3x4hT1KbM/CA3+wW6w==" spinCount="100000" sheet="1" objects="1" scenarios="1"/>
  <protectedRanges>
    <protectedRange sqref="D5:E10 H5:L10" name="Range1"/>
  </protectedRanges>
  <mergeCells count="41">
    <mergeCell ref="C2:C3"/>
    <mergeCell ref="A2:A3"/>
    <mergeCell ref="B2:B3"/>
    <mergeCell ref="D2:K2"/>
    <mergeCell ref="U13:Z13"/>
    <mergeCell ref="F5:F7"/>
    <mergeCell ref="F8:F10"/>
    <mergeCell ref="S13:T15"/>
    <mergeCell ref="N2:Q2"/>
    <mergeCell ref="AA13:AF13"/>
    <mergeCell ref="AG13:AG15"/>
    <mergeCell ref="U14:W14"/>
    <mergeCell ref="X14:Z14"/>
    <mergeCell ref="AA14:AC14"/>
    <mergeCell ref="AD14:AF14"/>
    <mergeCell ref="U22:U23"/>
    <mergeCell ref="X22:Y22"/>
    <mergeCell ref="Z22:AA22"/>
    <mergeCell ref="AB22:AB23"/>
    <mergeCell ref="S16:T16"/>
    <mergeCell ref="S17:T17"/>
    <mergeCell ref="S18:T18"/>
    <mergeCell ref="S19:T19"/>
    <mergeCell ref="S22:T23"/>
    <mergeCell ref="AB32:AB33"/>
    <mergeCell ref="S34:T34"/>
    <mergeCell ref="S35:T35"/>
    <mergeCell ref="S36:T36"/>
    <mergeCell ref="S39:T40"/>
    <mergeCell ref="U39:W39"/>
    <mergeCell ref="X39:Z39"/>
    <mergeCell ref="AA39:AA40"/>
    <mergeCell ref="S32:T33"/>
    <mergeCell ref="U32:W32"/>
    <mergeCell ref="X32:Z32"/>
    <mergeCell ref="AA32:AA33"/>
    <mergeCell ref="S41:T41"/>
    <mergeCell ref="S42:T42"/>
    <mergeCell ref="S43:T43"/>
    <mergeCell ref="S24:S26"/>
    <mergeCell ref="S27:S29"/>
  </mergeCells>
  <conditionalFormatting sqref="T24:U24 U25:U29">
    <cfRule type="expression" dxfId="6" priority="19">
      <formula>#REF!=0</formula>
    </cfRule>
  </conditionalFormatting>
  <dataValidations count="1">
    <dataValidation type="decimal" allowBlank="1" showInputMessage="1" showErrorMessage="1" sqref="D1:E1" xr:uid="{5159FC53-49D8-4616-B7BD-CA71714ECC80}">
      <formula1>0</formula1>
      <formula2>999999999999999000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AA5E-47B3-41B1-882C-A51075A1017F}">
  <sheetPr codeName="Sheet8">
    <tabColor theme="4" tint="0.39997558519241921"/>
  </sheetPr>
  <dimension ref="A1:AI97"/>
  <sheetViews>
    <sheetView showGridLines="0" topLeftCell="C1" zoomScaleNormal="100" workbookViewId="0">
      <selection activeCell="C1" sqref="C1"/>
    </sheetView>
  </sheetViews>
  <sheetFormatPr defaultColWidth="0" defaultRowHeight="13.8"/>
  <cols>
    <col min="1" max="1" width="12.109375" style="6" hidden="1" customWidth="1"/>
    <col min="2" max="2" width="8" style="6" hidden="1" customWidth="1"/>
    <col min="3" max="3" width="7.6640625" style="6" customWidth="1"/>
    <col min="4" max="4" width="21.88671875" style="6" customWidth="1"/>
    <col min="5" max="5" width="16.5546875" style="6" customWidth="1"/>
    <col min="6" max="6" width="17.44140625" style="6" customWidth="1"/>
    <col min="7" max="7" width="27.6640625" style="6" customWidth="1"/>
    <col min="8" max="8" width="8" style="6" bestFit="1" customWidth="1"/>
    <col min="9" max="12" width="15.5546875" style="6" customWidth="1"/>
    <col min="13" max="13" width="11.33203125" style="6" bestFit="1" customWidth="1"/>
    <col min="14" max="14" width="12.44140625" style="6" customWidth="1"/>
    <col min="15" max="15" width="15.88671875" style="6" customWidth="1"/>
    <col min="16" max="16" width="12" style="6" customWidth="1"/>
    <col min="17" max="17" width="1.88671875" style="6" customWidth="1"/>
    <col min="18" max="18" width="9" style="6" customWidth="1"/>
    <col min="19" max="19" width="11" style="6" customWidth="1"/>
    <col min="20" max="20" width="14.44140625" style="6" customWidth="1"/>
    <col min="21" max="22" width="11.88671875" style="6" customWidth="1"/>
    <col min="23" max="23" width="11.88671875" style="6" hidden="1" customWidth="1"/>
    <col min="24" max="24" width="2.88671875" style="6" hidden="1" customWidth="1"/>
    <col min="25" max="25" width="27.88671875" style="6" hidden="1" customWidth="1"/>
    <col min="26" max="35" width="14.6640625" style="6" hidden="1" customWidth="1"/>
    <col min="36" max="16384" width="10" style="6" hidden="1"/>
  </cols>
  <sheetData>
    <row r="1" spans="1:35" s="7" customFormat="1" ht="25.2">
      <c r="C1" s="30" t="s">
        <v>631</v>
      </c>
      <c r="D1" s="9"/>
      <c r="E1" s="9"/>
      <c r="G1" s="8"/>
      <c r="I1" s="8"/>
      <c r="J1" s="8"/>
      <c r="K1" s="8"/>
      <c r="L1" s="8"/>
      <c r="Q1" s="6"/>
    </row>
    <row r="2" spans="1:35" s="10" customFormat="1" ht="15" customHeight="1">
      <c r="A2" s="866" t="s">
        <v>118</v>
      </c>
      <c r="B2" s="866" t="s">
        <v>255</v>
      </c>
      <c r="C2" s="866" t="s">
        <v>589</v>
      </c>
      <c r="D2" s="912" t="s">
        <v>590</v>
      </c>
      <c r="E2" s="913"/>
      <c r="F2" s="913"/>
      <c r="G2" s="913"/>
      <c r="H2" s="913"/>
      <c r="I2" s="913"/>
      <c r="J2" s="913"/>
      <c r="K2" s="913"/>
      <c r="L2" s="913"/>
      <c r="M2" s="913"/>
      <c r="N2" s="913"/>
      <c r="O2" s="913"/>
      <c r="P2" s="913"/>
      <c r="Q2" s="6"/>
      <c r="R2" s="868" t="s">
        <v>591</v>
      </c>
      <c r="S2" s="868"/>
      <c r="T2" s="868"/>
      <c r="U2" s="868"/>
      <c r="V2" s="151"/>
      <c r="W2" s="151"/>
    </row>
    <row r="3" spans="1:35" s="127" customFormat="1" ht="75.75" customHeight="1">
      <c r="A3" s="866"/>
      <c r="B3" s="866"/>
      <c r="C3" s="866"/>
      <c r="D3" s="424" t="s">
        <v>592</v>
      </c>
      <c r="E3" s="424" t="s">
        <v>593</v>
      </c>
      <c r="F3" s="425" t="s">
        <v>99</v>
      </c>
      <c r="G3" s="425" t="s">
        <v>221</v>
      </c>
      <c r="H3" s="424" t="s">
        <v>594</v>
      </c>
      <c r="I3" s="425" t="s">
        <v>632</v>
      </c>
      <c r="J3" s="425" t="s">
        <v>633</v>
      </c>
      <c r="K3" s="425" t="s">
        <v>634</v>
      </c>
      <c r="L3" s="425" t="s">
        <v>635</v>
      </c>
      <c r="M3" s="424" t="s">
        <v>636</v>
      </c>
      <c r="N3" s="424" t="s">
        <v>637</v>
      </c>
      <c r="O3" s="424" t="s">
        <v>638</v>
      </c>
      <c r="P3" s="424" t="s">
        <v>596</v>
      </c>
      <c r="Q3" s="6"/>
      <c r="R3" s="423" t="s">
        <v>599</v>
      </c>
      <c r="S3" s="423" t="s">
        <v>600</v>
      </c>
      <c r="T3" s="423" t="s">
        <v>6</v>
      </c>
      <c r="U3" s="423" t="s">
        <v>601</v>
      </c>
      <c r="V3" s="191"/>
      <c r="W3" s="191"/>
      <c r="Y3" s="10"/>
      <c r="Z3" s="10"/>
      <c r="AA3" s="10"/>
      <c r="AB3" s="10"/>
    </row>
    <row r="4" spans="1:35" s="127" customFormat="1" ht="12.75" customHeight="1">
      <c r="A4" s="460"/>
      <c r="B4" s="460"/>
      <c r="C4" s="427" t="s">
        <v>602</v>
      </c>
      <c r="D4" s="460"/>
      <c r="E4" s="460"/>
      <c r="F4" s="460" t="s">
        <v>639</v>
      </c>
      <c r="G4" s="460" t="s">
        <v>640</v>
      </c>
      <c r="H4" s="460">
        <v>1</v>
      </c>
      <c r="I4" s="460">
        <v>75</v>
      </c>
      <c r="J4" s="460">
        <v>2</v>
      </c>
      <c r="K4" s="460"/>
      <c r="L4" s="460"/>
      <c r="M4" s="460" t="s">
        <v>363</v>
      </c>
      <c r="N4" s="460" t="s">
        <v>332</v>
      </c>
      <c r="O4" s="460">
        <v>18</v>
      </c>
      <c r="P4" s="460">
        <v>365</v>
      </c>
      <c r="Q4" s="6"/>
      <c r="V4" s="191"/>
      <c r="W4" s="191"/>
      <c r="Y4" s="10"/>
      <c r="Z4" s="10"/>
      <c r="AA4" s="10"/>
      <c r="AB4" s="10"/>
    </row>
    <row r="5" spans="1:35" s="10" customFormat="1">
      <c r="A5" s="431" t="str">
        <f>IF(Summary!$C$7="","",Summary!$C$7)</f>
        <v/>
      </c>
      <c r="B5" s="432">
        <f>IFERROR(IF(ISNUMBER(MATCH(Summary!$C$8,Lookups!$B$143:$B$196,0)),"Wilmington, DE",IF(ISNUMBER(MATCH(Summary!$C$8,Lookups!$C$143:$C$187,0)),"Dover, DE",0)),"")</f>
        <v>0</v>
      </c>
      <c r="C5" s="428">
        <v>1</v>
      </c>
      <c r="D5" s="433"/>
      <c r="E5" s="433"/>
      <c r="F5" s="869" t="s">
        <v>639</v>
      </c>
      <c r="G5" s="428" t="s">
        <v>640</v>
      </c>
      <c r="H5" s="435"/>
      <c r="I5" s="461"/>
      <c r="J5" s="461"/>
      <c r="K5" s="461"/>
      <c r="L5" s="461"/>
      <c r="M5" s="436"/>
      <c r="N5" s="437" t="s">
        <v>332</v>
      </c>
      <c r="O5" s="437"/>
      <c r="P5" s="437"/>
      <c r="Q5" s="6"/>
      <c r="R5" s="439">
        <f>IFERROR(AE87,0)</f>
        <v>0</v>
      </c>
      <c r="S5" s="439">
        <f>IFERROR(AD87,0)</f>
        <v>0</v>
      </c>
      <c r="T5" s="439">
        <f>IFERROR(AF87,0)</f>
        <v>0</v>
      </c>
      <c r="U5" s="462">
        <f>AG87</f>
        <v>0</v>
      </c>
      <c r="V5" s="191"/>
      <c r="W5" s="191"/>
    </row>
    <row r="6" spans="1:35" s="10" customFormat="1">
      <c r="A6" s="431" t="str">
        <f>IF(Summary!$C$7="","",Summary!$C$7)</f>
        <v/>
      </c>
      <c r="B6" s="432">
        <f>IFERROR(IF(ISNUMBER(MATCH(Summary!$C$8,Lookups!$B$143:$B$196,0)),"Wilmington, DE",IF(ISNUMBER(MATCH(Summary!$C$8,Lookups!$C$143:$C$187,0)),"Dover, DE",0)),"")</f>
        <v>0</v>
      </c>
      <c r="C6" s="428">
        <v>2</v>
      </c>
      <c r="D6" s="433"/>
      <c r="E6" s="433"/>
      <c r="F6" s="870"/>
      <c r="G6" s="428" t="s">
        <v>641</v>
      </c>
      <c r="H6" s="435"/>
      <c r="I6" s="461"/>
      <c r="J6" s="461"/>
      <c r="K6" s="461"/>
      <c r="L6" s="461"/>
      <c r="M6" s="436"/>
      <c r="N6" s="437" t="s">
        <v>332</v>
      </c>
      <c r="O6" s="437"/>
      <c r="P6" s="437"/>
      <c r="Q6" s="6"/>
      <c r="R6" s="439">
        <f t="shared" ref="R6:R8" si="0">IFERROR(AE88,0)</f>
        <v>0</v>
      </c>
      <c r="S6" s="439">
        <f t="shared" ref="S6:S8" si="1">IFERROR(AD88,0)</f>
        <v>0</v>
      </c>
      <c r="T6" s="439">
        <f t="shared" ref="T6:T8" si="2">IFERROR(AF88,0)</f>
        <v>0</v>
      </c>
      <c r="U6" s="462">
        <f t="shared" ref="U6:U8" si="3">AG88</f>
        <v>0</v>
      </c>
      <c r="V6" s="191"/>
      <c r="W6" s="191"/>
    </row>
    <row r="7" spans="1:35" s="10" customFormat="1">
      <c r="A7" s="431" t="str">
        <f>IF(Summary!$C$7="","",Summary!$C$7)</f>
        <v/>
      </c>
      <c r="B7" s="432">
        <f>IFERROR(IF(ISNUMBER(MATCH(Summary!$C$8,Lookups!$B$143:$B$196,0)),"Wilmington, DE",IF(ISNUMBER(MATCH(Summary!$C$8,Lookups!$C$143:$C$187,0)),"Dover, DE",0)),"")</f>
        <v>0</v>
      </c>
      <c r="C7" s="428">
        <v>3</v>
      </c>
      <c r="D7" s="433"/>
      <c r="E7" s="433"/>
      <c r="F7" s="870"/>
      <c r="G7" s="428" t="s">
        <v>642</v>
      </c>
      <c r="H7" s="435"/>
      <c r="I7" s="461"/>
      <c r="J7" s="461"/>
      <c r="K7" s="461"/>
      <c r="L7" s="461"/>
      <c r="M7" s="436"/>
      <c r="N7" s="437" t="s">
        <v>332</v>
      </c>
      <c r="O7" s="437"/>
      <c r="P7" s="437"/>
      <c r="Q7" s="6"/>
      <c r="R7" s="439">
        <f t="shared" si="0"/>
        <v>0</v>
      </c>
      <c r="S7" s="439">
        <f t="shared" si="1"/>
        <v>0</v>
      </c>
      <c r="T7" s="439">
        <f t="shared" si="2"/>
        <v>0</v>
      </c>
      <c r="U7" s="462">
        <f t="shared" si="3"/>
        <v>0</v>
      </c>
    </row>
    <row r="8" spans="1:35" s="10" customFormat="1" ht="13.2">
      <c r="A8" s="431" t="str">
        <f>IF(Summary!$C$7="","",Summary!$C$7)</f>
        <v/>
      </c>
      <c r="B8" s="432">
        <f>IFERROR(IF(ISNUMBER(MATCH(Summary!$C$8,Lookups!$B$143:$B$196,0)),"Wilmington, DE",IF(ISNUMBER(MATCH(Summary!$C$8,Lookups!$C$143:$C$187,0)),"Dover, DE",0)),"")</f>
        <v>0</v>
      </c>
      <c r="C8" s="428">
        <v>4</v>
      </c>
      <c r="D8" s="433"/>
      <c r="E8" s="433"/>
      <c r="F8" s="871"/>
      <c r="G8" s="428" t="s">
        <v>643</v>
      </c>
      <c r="H8" s="435"/>
      <c r="I8" s="461"/>
      <c r="J8" s="461"/>
      <c r="K8" s="461"/>
      <c r="L8" s="461"/>
      <c r="M8" s="436"/>
      <c r="N8" s="437" t="s">
        <v>332</v>
      </c>
      <c r="O8" s="437"/>
      <c r="P8" s="437"/>
      <c r="R8" s="439">
        <f t="shared" si="0"/>
        <v>0</v>
      </c>
      <c r="S8" s="439">
        <f t="shared" si="1"/>
        <v>0</v>
      </c>
      <c r="T8" s="439">
        <f t="shared" si="2"/>
        <v>0</v>
      </c>
      <c r="U8" s="462">
        <f t="shared" si="3"/>
        <v>0</v>
      </c>
    </row>
    <row r="9" spans="1:35" s="10" customFormat="1">
      <c r="A9" s="431" t="str">
        <f>IF(Summary!$C$7="","",Summary!$C$7)</f>
        <v/>
      </c>
      <c r="B9" s="432">
        <f>IFERROR(IF(ISNUMBER(MATCH(Summary!$C$8,Lookups!$B$143:$B$196,0)),"Wilmington, DE",IF(ISNUMBER(MATCH(Summary!$C$8,Lookups!$C$143:$C$187,0)),"Dover, DE",0)),"")</f>
        <v>0</v>
      </c>
      <c r="C9" s="428">
        <v>5</v>
      </c>
      <c r="D9" s="433"/>
      <c r="E9" s="433"/>
      <c r="F9" s="869" t="s">
        <v>644</v>
      </c>
      <c r="G9" s="428" t="s">
        <v>640</v>
      </c>
      <c r="H9" s="435"/>
      <c r="I9" s="461"/>
      <c r="J9" s="461"/>
      <c r="K9" s="461"/>
      <c r="L9" s="461"/>
      <c r="M9" s="436"/>
      <c r="N9" s="436"/>
      <c r="O9" s="437"/>
      <c r="P9" s="437"/>
      <c r="Q9" s="6"/>
      <c r="R9" s="439">
        <f>IFERROR(AE92,0)</f>
        <v>0</v>
      </c>
      <c r="S9" s="439">
        <f>IFERROR(AD92,0)</f>
        <v>0</v>
      </c>
      <c r="T9" s="439">
        <f>IFERROR(AF92,0)</f>
        <v>0</v>
      </c>
      <c r="U9" s="462">
        <f>AG92</f>
        <v>0</v>
      </c>
    </row>
    <row r="10" spans="1:35" s="10" customFormat="1">
      <c r="A10" s="431" t="str">
        <f>IF(Summary!$C$7="","",Summary!$C$7)</f>
        <v/>
      </c>
      <c r="B10" s="432">
        <f>IFERROR(IF(ISNUMBER(MATCH(Summary!$C$8,Lookups!$B$143:$B$196,0)),"Wilmington, DE",IF(ISNUMBER(MATCH(Summary!$C$8,Lookups!$C$143:$C$187,0)),"Dover, DE",0)),"")</f>
        <v>0</v>
      </c>
      <c r="C10" s="428">
        <v>6</v>
      </c>
      <c r="D10" s="433"/>
      <c r="E10" s="433"/>
      <c r="F10" s="870"/>
      <c r="G10" s="428" t="s">
        <v>641</v>
      </c>
      <c r="H10" s="435"/>
      <c r="I10" s="461"/>
      <c r="J10" s="461"/>
      <c r="K10" s="461"/>
      <c r="L10" s="461"/>
      <c r="M10" s="436"/>
      <c r="N10" s="436"/>
      <c r="O10" s="437"/>
      <c r="P10" s="437"/>
      <c r="Q10" s="6"/>
      <c r="R10" s="439">
        <f t="shared" ref="R10:R12" si="4">IFERROR(AE93,0)</f>
        <v>0</v>
      </c>
      <c r="S10" s="439">
        <f t="shared" ref="S10:S12" si="5">IFERROR(AD93,0)</f>
        <v>0</v>
      </c>
      <c r="T10" s="439">
        <f t="shared" ref="T10:T12" si="6">IFERROR(AF93,0)</f>
        <v>0</v>
      </c>
      <c r="U10" s="462">
        <f t="shared" ref="U10:U12" si="7">AG93</f>
        <v>0</v>
      </c>
    </row>
    <row r="11" spans="1:35" s="10" customFormat="1">
      <c r="A11" s="431" t="str">
        <f>IF(Summary!$C$7="","",Summary!$C$7)</f>
        <v/>
      </c>
      <c r="B11" s="432">
        <f>IFERROR(IF(ISNUMBER(MATCH(Summary!$C$8,Lookups!$B$143:$B$196,0)),"Wilmington, DE",IF(ISNUMBER(MATCH(Summary!$C$8,Lookups!$C$143:$C$187,0)),"Dover, DE",0)),"")</f>
        <v>0</v>
      </c>
      <c r="C11" s="428">
        <v>7</v>
      </c>
      <c r="D11" s="433"/>
      <c r="E11" s="433"/>
      <c r="F11" s="870"/>
      <c r="G11" s="428" t="s">
        <v>642</v>
      </c>
      <c r="H11" s="435"/>
      <c r="I11" s="461"/>
      <c r="J11" s="461"/>
      <c r="K11" s="461"/>
      <c r="L11" s="461"/>
      <c r="M11" s="436"/>
      <c r="N11" s="436"/>
      <c r="O11" s="437"/>
      <c r="P11" s="437"/>
      <c r="Q11" s="6"/>
      <c r="R11" s="439">
        <f t="shared" si="4"/>
        <v>0</v>
      </c>
      <c r="S11" s="439">
        <f t="shared" si="5"/>
        <v>0</v>
      </c>
      <c r="T11" s="439">
        <f t="shared" si="6"/>
        <v>0</v>
      </c>
      <c r="U11" s="462">
        <f t="shared" si="7"/>
        <v>0</v>
      </c>
    </row>
    <row r="12" spans="1:35" s="10" customFormat="1">
      <c r="A12" s="431" t="str">
        <f>IF(Summary!$C$7="","",Summary!$C$7)</f>
        <v/>
      </c>
      <c r="B12" s="432">
        <f>IFERROR(IF(ISNUMBER(MATCH(Summary!$C$8,Lookups!$B$143:$B$196,0)),"Wilmington, DE",IF(ISNUMBER(MATCH(Summary!$C$8,Lookups!$C$143:$C$187,0)),"Dover, DE",0)),"")</f>
        <v>0</v>
      </c>
      <c r="C12" s="428">
        <v>8</v>
      </c>
      <c r="D12" s="433"/>
      <c r="E12" s="433"/>
      <c r="F12" s="871"/>
      <c r="G12" s="428" t="s">
        <v>643</v>
      </c>
      <c r="H12" s="435"/>
      <c r="I12" s="461"/>
      <c r="J12" s="461"/>
      <c r="K12" s="461"/>
      <c r="L12" s="461"/>
      <c r="M12" s="436"/>
      <c r="N12" s="436"/>
      <c r="O12" s="437"/>
      <c r="P12" s="437"/>
      <c r="Q12" s="6"/>
      <c r="R12" s="439">
        <f t="shared" si="4"/>
        <v>0</v>
      </c>
      <c r="S12" s="439">
        <f t="shared" si="5"/>
        <v>0</v>
      </c>
      <c r="T12" s="439">
        <f t="shared" si="6"/>
        <v>0</v>
      </c>
      <c r="U12" s="462">
        <f t="shared" si="7"/>
        <v>0</v>
      </c>
    </row>
    <row r="13" spans="1:35" s="10" customFormat="1">
      <c r="C13" s="124" t="s">
        <v>645</v>
      </c>
      <c r="D13" s="129"/>
      <c r="E13" s="129"/>
      <c r="G13" s="129"/>
      <c r="I13" s="129"/>
      <c r="J13" s="129"/>
      <c r="K13" s="129"/>
      <c r="L13" s="129"/>
      <c r="Q13" s="6"/>
    </row>
    <row r="14" spans="1:35" s="10" customFormat="1">
      <c r="C14" s="131"/>
      <c r="D14" s="129"/>
      <c r="E14" s="129"/>
      <c r="G14" s="129"/>
      <c r="I14" s="129"/>
      <c r="J14" s="129"/>
      <c r="K14" s="129"/>
      <c r="L14" s="129"/>
      <c r="Q14" s="6"/>
    </row>
    <row r="15" spans="1:35" ht="14.4">
      <c r="D15" s="120" t="s">
        <v>646</v>
      </c>
      <c r="X15" s="143" t="s">
        <v>647</v>
      </c>
      <c r="Y15" s="150"/>
      <c r="Z15" s="151"/>
      <c r="AA15" s="151"/>
      <c r="AB15" s="151"/>
      <c r="AC15" s="151"/>
      <c r="AD15" s="151"/>
      <c r="AE15" s="152"/>
      <c r="AF15" s="151"/>
      <c r="AG15" s="151"/>
      <c r="AH15" s="153"/>
      <c r="AI15" s="154"/>
    </row>
    <row r="16" spans="1:35" ht="16.5" customHeight="1">
      <c r="D16" s="143" t="s">
        <v>618</v>
      </c>
      <c r="E16" s="151"/>
      <c r="F16" s="151"/>
      <c r="G16" s="151"/>
      <c r="X16" s="155"/>
      <c r="Y16" s="889"/>
      <c r="Z16" s="890" t="s">
        <v>609</v>
      </c>
      <c r="AA16" s="862"/>
      <c r="AB16" s="862"/>
      <c r="AC16" s="890" t="s">
        <v>610</v>
      </c>
      <c r="AD16" s="862"/>
      <c r="AE16" s="862"/>
      <c r="AF16" s="862"/>
      <c r="AG16" s="862"/>
      <c r="AH16" s="156"/>
      <c r="AI16" s="156"/>
    </row>
    <row r="17" spans="4:35" ht="25.5" customHeight="1">
      <c r="D17" s="464"/>
      <c r="E17" s="883" t="s">
        <v>648</v>
      </c>
      <c r="F17" s="909"/>
      <c r="G17" s="853" t="s">
        <v>649</v>
      </c>
      <c r="X17" s="155"/>
      <c r="Y17" s="862"/>
      <c r="Z17" s="445" t="s">
        <v>616</v>
      </c>
      <c r="AA17" s="445" t="s">
        <v>632</v>
      </c>
      <c r="AB17" s="445"/>
      <c r="AC17" s="445" t="s">
        <v>616</v>
      </c>
      <c r="AD17" s="445" t="s">
        <v>632</v>
      </c>
      <c r="AE17" s="445"/>
      <c r="AF17" s="445" t="s">
        <v>650</v>
      </c>
      <c r="AG17" s="445" t="s">
        <v>651</v>
      </c>
      <c r="AH17" s="157"/>
      <c r="AI17" s="156"/>
    </row>
    <row r="18" spans="4:35">
      <c r="D18" s="186"/>
      <c r="E18" s="910"/>
      <c r="F18" s="911"/>
      <c r="G18" s="887"/>
      <c r="X18" s="155"/>
      <c r="Y18" s="861" t="s">
        <v>652</v>
      </c>
      <c r="Z18" s="862"/>
      <c r="AA18" s="862"/>
      <c r="AB18" s="862"/>
      <c r="AC18" s="862"/>
      <c r="AD18" s="862"/>
      <c r="AE18" s="862"/>
      <c r="AF18" s="862"/>
      <c r="AG18" s="862"/>
      <c r="AH18" s="157"/>
      <c r="AI18" s="156"/>
    </row>
    <row r="19" spans="4:35">
      <c r="D19" s="187"/>
      <c r="E19" s="465" t="s">
        <v>362</v>
      </c>
      <c r="F19" s="465" t="s">
        <v>653</v>
      </c>
      <c r="G19" s="854"/>
      <c r="X19" s="155"/>
      <c r="Y19" s="466" t="s">
        <v>640</v>
      </c>
      <c r="Z19" s="467">
        <v>365</v>
      </c>
      <c r="AA19" s="467">
        <v>75</v>
      </c>
      <c r="AB19" s="468"/>
      <c r="AC19" s="467">
        <f>P5</f>
        <v>0</v>
      </c>
      <c r="AD19" s="467">
        <f>I5</f>
        <v>0</v>
      </c>
      <c r="AE19" s="468"/>
      <c r="AF19" s="469">
        <f>M5</f>
        <v>0</v>
      </c>
      <c r="AG19" s="892" t="s">
        <v>332</v>
      </c>
      <c r="AH19" s="157"/>
      <c r="AI19" s="156"/>
    </row>
    <row r="20" spans="4:35">
      <c r="D20" s="470" t="s">
        <v>654</v>
      </c>
      <c r="E20" s="471">
        <v>0.98</v>
      </c>
      <c r="F20" s="471">
        <v>0.8</v>
      </c>
      <c r="G20" s="472">
        <v>70</v>
      </c>
      <c r="X20" s="155"/>
      <c r="Y20" s="466" t="s">
        <v>641</v>
      </c>
      <c r="Z20" s="467">
        <v>365</v>
      </c>
      <c r="AA20" s="467">
        <v>280</v>
      </c>
      <c r="AB20" s="468"/>
      <c r="AC20" s="467">
        <f t="shared" ref="AC20:AC22" si="8">P6</f>
        <v>0</v>
      </c>
      <c r="AD20" s="467">
        <f t="shared" ref="AD20:AD22" si="9">I6</f>
        <v>0</v>
      </c>
      <c r="AE20" s="468"/>
      <c r="AF20" s="469">
        <f t="shared" ref="AF20:AF22" si="10">M6</f>
        <v>0</v>
      </c>
      <c r="AG20" s="893"/>
      <c r="AH20" s="157"/>
      <c r="AI20" s="156"/>
    </row>
    <row r="21" spans="4:35">
      <c r="D21" s="470" t="s">
        <v>655</v>
      </c>
      <c r="E21" s="471">
        <v>0.98</v>
      </c>
      <c r="F21" s="471">
        <v>0.8</v>
      </c>
      <c r="G21" s="472">
        <v>40</v>
      </c>
      <c r="X21" s="155"/>
      <c r="Y21" s="466" t="s">
        <v>642</v>
      </c>
      <c r="Z21" s="467">
        <v>365</v>
      </c>
      <c r="AA21" s="467">
        <v>400</v>
      </c>
      <c r="AB21" s="468"/>
      <c r="AC21" s="467">
        <f t="shared" si="8"/>
        <v>0</v>
      </c>
      <c r="AD21" s="467">
        <f t="shared" si="9"/>
        <v>0</v>
      </c>
      <c r="AE21" s="468"/>
      <c r="AF21" s="469">
        <f t="shared" si="10"/>
        <v>0</v>
      </c>
      <c r="AG21" s="893"/>
      <c r="AH21" s="157"/>
      <c r="AI21" s="158"/>
    </row>
    <row r="22" spans="4:35" ht="15" customHeight="1">
      <c r="D22" s="11"/>
      <c r="E22" s="11"/>
      <c r="G22" s="11"/>
      <c r="H22" s="11"/>
      <c r="X22" s="155"/>
      <c r="Y22" s="466" t="s">
        <v>643</v>
      </c>
      <c r="Z22" s="467">
        <v>365</v>
      </c>
      <c r="AA22" s="467">
        <v>600</v>
      </c>
      <c r="AB22" s="468"/>
      <c r="AC22" s="467">
        <f t="shared" si="8"/>
        <v>0</v>
      </c>
      <c r="AD22" s="467">
        <f t="shared" si="9"/>
        <v>0</v>
      </c>
      <c r="AE22" s="468"/>
      <c r="AF22" s="469">
        <f t="shared" si="10"/>
        <v>0</v>
      </c>
      <c r="AG22" s="894"/>
      <c r="AH22" s="157"/>
      <c r="AI22" s="156"/>
    </row>
    <row r="23" spans="4:35" ht="24" customHeight="1">
      <c r="D23" s="11"/>
      <c r="E23" s="11"/>
      <c r="G23" s="11"/>
      <c r="H23" s="11"/>
      <c r="X23" s="155"/>
      <c r="Y23" s="861" t="s">
        <v>656</v>
      </c>
      <c r="Z23" s="862"/>
      <c r="AA23" s="862"/>
      <c r="AB23" s="862"/>
      <c r="AC23" s="862"/>
      <c r="AD23" s="862"/>
      <c r="AE23" s="862"/>
      <c r="AF23" s="862"/>
      <c r="AG23" s="452"/>
      <c r="AH23" s="157"/>
      <c r="AI23" s="156"/>
    </row>
    <row r="24" spans="4:35">
      <c r="D24" s="11"/>
      <c r="E24" s="11"/>
      <c r="G24" s="11"/>
      <c r="H24" s="11"/>
      <c r="X24" s="155"/>
      <c r="Y24" s="466" t="s">
        <v>640</v>
      </c>
      <c r="Z24" s="467">
        <v>365</v>
      </c>
      <c r="AA24" s="467">
        <v>75</v>
      </c>
      <c r="AB24" s="468"/>
      <c r="AC24" s="467">
        <f>P9</f>
        <v>0</v>
      </c>
      <c r="AD24" s="467">
        <f>I9</f>
        <v>0</v>
      </c>
      <c r="AE24" s="468"/>
      <c r="AF24" s="469">
        <f>M9</f>
        <v>0</v>
      </c>
      <c r="AG24" s="473">
        <f>N9</f>
        <v>0</v>
      </c>
      <c r="AH24" s="156"/>
      <c r="AI24" s="156"/>
    </row>
    <row r="25" spans="4:35">
      <c r="D25" s="11"/>
      <c r="E25" s="11"/>
      <c r="G25" s="11"/>
      <c r="H25" s="11"/>
      <c r="X25" s="155"/>
      <c r="Y25" s="466" t="s">
        <v>641</v>
      </c>
      <c r="Z25" s="467">
        <v>365</v>
      </c>
      <c r="AA25" s="467">
        <v>280</v>
      </c>
      <c r="AB25" s="468"/>
      <c r="AC25" s="467">
        <f t="shared" ref="AC25:AC27" si="11">P10</f>
        <v>0</v>
      </c>
      <c r="AD25" s="467">
        <f t="shared" ref="AD25:AD27" si="12">I10</f>
        <v>0</v>
      </c>
      <c r="AE25" s="468"/>
      <c r="AF25" s="469">
        <f t="shared" ref="AF25:AF27" si="13">M10</f>
        <v>0</v>
      </c>
      <c r="AG25" s="473">
        <f t="shared" ref="AG25:AG27" si="14">N10</f>
        <v>0</v>
      </c>
      <c r="AH25" s="157"/>
      <c r="AI25" s="156"/>
    </row>
    <row r="26" spans="4:35">
      <c r="X26" s="155"/>
      <c r="Y26" s="466" t="s">
        <v>642</v>
      </c>
      <c r="Z26" s="467">
        <v>365</v>
      </c>
      <c r="AA26" s="467">
        <v>400</v>
      </c>
      <c r="AB26" s="468"/>
      <c r="AC26" s="467">
        <f t="shared" si="11"/>
        <v>0</v>
      </c>
      <c r="AD26" s="467">
        <f t="shared" si="12"/>
        <v>0</v>
      </c>
      <c r="AE26" s="468"/>
      <c r="AF26" s="469">
        <f t="shared" si="13"/>
        <v>0</v>
      </c>
      <c r="AG26" s="473">
        <f t="shared" si="14"/>
        <v>0</v>
      </c>
      <c r="AH26" s="156"/>
      <c r="AI26" s="156"/>
    </row>
    <row r="27" spans="4:35">
      <c r="X27" s="155"/>
      <c r="Y27" s="466" t="s">
        <v>643</v>
      </c>
      <c r="Z27" s="467">
        <v>365</v>
      </c>
      <c r="AA27" s="467">
        <v>600</v>
      </c>
      <c r="AB27" s="468"/>
      <c r="AC27" s="467">
        <f t="shared" si="11"/>
        <v>0</v>
      </c>
      <c r="AD27" s="467">
        <f t="shared" si="12"/>
        <v>0</v>
      </c>
      <c r="AE27" s="468"/>
      <c r="AF27" s="469">
        <f t="shared" si="13"/>
        <v>0</v>
      </c>
      <c r="AG27" s="473">
        <f t="shared" si="14"/>
        <v>0</v>
      </c>
      <c r="AH27" s="157"/>
      <c r="AI27" s="156"/>
    </row>
    <row r="28" spans="4:35">
      <c r="X28" s="155"/>
      <c r="AH28" s="157"/>
      <c r="AI28" s="156"/>
    </row>
    <row r="29" spans="4:35" ht="14.4">
      <c r="X29" s="143" t="s">
        <v>618</v>
      </c>
      <c r="Y29" s="150"/>
      <c r="Z29" s="151"/>
      <c r="AA29" s="151"/>
      <c r="AB29" s="151"/>
      <c r="AC29" s="151"/>
      <c r="AD29" s="151"/>
      <c r="AE29" s="151"/>
      <c r="AF29" s="151"/>
      <c r="AG29" s="151"/>
      <c r="AH29" s="151"/>
      <c r="AI29" s="151"/>
    </row>
    <row r="30" spans="4:35" ht="16.5" customHeight="1">
      <c r="X30" s="159"/>
      <c r="Y30" s="880"/>
      <c r="Z30" s="883" t="s">
        <v>648</v>
      </c>
      <c r="AA30" s="884"/>
      <c r="AB30" s="853" t="s">
        <v>649</v>
      </c>
      <c r="AC30" s="156"/>
      <c r="AD30" s="151"/>
      <c r="AE30" s="151"/>
      <c r="AF30" s="151"/>
      <c r="AG30" s="151"/>
      <c r="AH30" s="151"/>
      <c r="AI30" s="151"/>
    </row>
    <row r="31" spans="4:35" ht="16.8">
      <c r="X31" s="159"/>
      <c r="Y31" s="881"/>
      <c r="Z31" s="885"/>
      <c r="AA31" s="886"/>
      <c r="AB31" s="887"/>
      <c r="AC31" s="156"/>
      <c r="AD31" s="888" t="s">
        <v>657</v>
      </c>
      <c r="AE31" s="862"/>
      <c r="AF31" s="475">
        <v>1</v>
      </c>
      <c r="AG31" s="476" t="s">
        <v>658</v>
      </c>
      <c r="AH31" s="151"/>
      <c r="AI31" s="151"/>
    </row>
    <row r="32" spans="4:35" ht="16.8">
      <c r="X32" s="159"/>
      <c r="Y32" s="882"/>
      <c r="Z32" s="465" t="s">
        <v>362</v>
      </c>
      <c r="AA32" s="465" t="s">
        <v>653</v>
      </c>
      <c r="AB32" s="854"/>
      <c r="AC32" s="156"/>
      <c r="AD32" s="888" t="s">
        <v>659</v>
      </c>
      <c r="AE32" s="862"/>
      <c r="AF32" s="475">
        <f>61.4/7.48</f>
        <v>8.2085561497326189</v>
      </c>
      <c r="AG32" s="477" t="s">
        <v>660</v>
      </c>
      <c r="AH32" s="151"/>
      <c r="AI32" s="151"/>
    </row>
    <row r="33" spans="24:35">
      <c r="X33" s="160"/>
      <c r="Y33" s="470" t="s">
        <v>654</v>
      </c>
      <c r="Z33" s="478">
        <f t="shared" ref="Z33:AB34" si="15">E20</f>
        <v>0.98</v>
      </c>
      <c r="AA33" s="478">
        <f t="shared" si="15"/>
        <v>0.8</v>
      </c>
      <c r="AB33" s="479">
        <f t="shared" si="15"/>
        <v>70</v>
      </c>
      <c r="AC33" s="156"/>
      <c r="AD33" s="156"/>
      <c r="AE33" s="156"/>
      <c r="AF33" s="156"/>
      <c r="AG33" s="156"/>
      <c r="AH33" s="156"/>
      <c r="AI33" s="156"/>
    </row>
    <row r="34" spans="24:35">
      <c r="X34" s="160"/>
      <c r="Y34" s="470" t="s">
        <v>655</v>
      </c>
      <c r="Z34" s="478">
        <f t="shared" si="15"/>
        <v>0.98</v>
      </c>
      <c r="AA34" s="478">
        <f t="shared" si="15"/>
        <v>0.8</v>
      </c>
      <c r="AB34" s="479">
        <f t="shared" si="15"/>
        <v>40</v>
      </c>
      <c r="AC34" s="156"/>
      <c r="AD34" s="156"/>
      <c r="AE34" s="156"/>
      <c r="AF34" s="156"/>
      <c r="AG34" s="156"/>
      <c r="AH34" s="156"/>
      <c r="AI34" s="156"/>
    </row>
    <row r="35" spans="24:35" ht="16.8">
      <c r="X35" s="159"/>
      <c r="Y35" s="161"/>
      <c r="Z35" s="151"/>
      <c r="AA35" s="151"/>
      <c r="AB35" s="151"/>
      <c r="AC35" s="151"/>
      <c r="AD35" s="151"/>
      <c r="AE35" s="151"/>
      <c r="AF35" s="151"/>
      <c r="AG35" s="151"/>
      <c r="AH35" s="151"/>
      <c r="AI35" s="151"/>
    </row>
    <row r="36" spans="24:35">
      <c r="X36" s="162"/>
      <c r="Y36" s="898"/>
      <c r="Z36" s="853" t="s">
        <v>661</v>
      </c>
      <c r="AA36" s="878" t="s">
        <v>662</v>
      </c>
      <c r="AB36" s="879"/>
      <c r="AC36" s="878" t="s">
        <v>663</v>
      </c>
      <c r="AD36" s="879"/>
      <c r="AE36" s="878" t="s">
        <v>664</v>
      </c>
      <c r="AF36" s="879"/>
      <c r="AG36" s="853" t="s">
        <v>665</v>
      </c>
      <c r="AH36" s="151"/>
      <c r="AI36" s="151"/>
    </row>
    <row r="37" spans="24:35">
      <c r="X37" s="162"/>
      <c r="Y37" s="899"/>
      <c r="Z37" s="895"/>
      <c r="AA37" s="451" t="s">
        <v>625</v>
      </c>
      <c r="AB37" s="451" t="s">
        <v>626</v>
      </c>
      <c r="AC37" s="451" t="s">
        <v>625</v>
      </c>
      <c r="AD37" s="451" t="s">
        <v>626</v>
      </c>
      <c r="AE37" s="445" t="s">
        <v>625</v>
      </c>
      <c r="AF37" s="445" t="s">
        <v>626</v>
      </c>
      <c r="AG37" s="895"/>
      <c r="AH37" s="151"/>
      <c r="AI37" s="151"/>
    </row>
    <row r="38" spans="24:35" ht="16.8">
      <c r="X38" s="159"/>
      <c r="Y38" s="850" t="s">
        <v>652</v>
      </c>
      <c r="Z38" s="896"/>
      <c r="AA38" s="896"/>
      <c r="AB38" s="896"/>
      <c r="AC38" s="896"/>
      <c r="AD38" s="896"/>
      <c r="AE38" s="896"/>
      <c r="AF38" s="896"/>
      <c r="AG38" s="897"/>
      <c r="AH38" s="156"/>
      <c r="AI38" s="156"/>
    </row>
    <row r="39" spans="24:35" ht="16.8">
      <c r="X39" s="159"/>
      <c r="Y39" s="466" t="s">
        <v>640</v>
      </c>
      <c r="Z39" s="482">
        <f>O5</f>
        <v>0</v>
      </c>
      <c r="AA39" s="483">
        <v>2</v>
      </c>
      <c r="AB39" s="484">
        <f>J5</f>
        <v>0</v>
      </c>
      <c r="AC39" s="485">
        <v>1.73</v>
      </c>
      <c r="AD39" s="486">
        <f>K5</f>
        <v>0</v>
      </c>
      <c r="AE39" s="485">
        <v>0.5</v>
      </c>
      <c r="AF39" s="486">
        <f>L5</f>
        <v>0</v>
      </c>
      <c r="AG39" s="482">
        <v>10</v>
      </c>
      <c r="AH39" s="151"/>
      <c r="AI39" s="151"/>
    </row>
    <row r="40" spans="24:35" ht="16.8">
      <c r="X40" s="159"/>
      <c r="Y40" s="466" t="s">
        <v>641</v>
      </c>
      <c r="Z40" s="482">
        <f t="shared" ref="Z40:Z42" si="16">O6</f>
        <v>0</v>
      </c>
      <c r="AA40" s="483">
        <v>1.5</v>
      </c>
      <c r="AB40" s="484">
        <f t="shared" ref="AB40:AB42" si="17">J6</f>
        <v>0</v>
      </c>
      <c r="AC40" s="485">
        <v>2.1</v>
      </c>
      <c r="AD40" s="486">
        <f t="shared" ref="AD40:AD42" si="18">K6</f>
        <v>0</v>
      </c>
      <c r="AE40" s="485">
        <v>0.6</v>
      </c>
      <c r="AF40" s="486">
        <f t="shared" ref="AF40:AF42" si="19">L6</f>
        <v>0</v>
      </c>
      <c r="AG40" s="482">
        <v>15</v>
      </c>
      <c r="AH40" s="151"/>
      <c r="AI40" s="151"/>
    </row>
    <row r="41" spans="24:35" ht="16.8">
      <c r="X41" s="159"/>
      <c r="Y41" s="466" t="s">
        <v>642</v>
      </c>
      <c r="Z41" s="482">
        <f t="shared" si="16"/>
        <v>0</v>
      </c>
      <c r="AA41" s="483">
        <v>0.3</v>
      </c>
      <c r="AB41" s="484">
        <f t="shared" si="17"/>
        <v>0</v>
      </c>
      <c r="AC41" s="485">
        <v>1.31</v>
      </c>
      <c r="AD41" s="486">
        <f t="shared" si="18"/>
        <v>0</v>
      </c>
      <c r="AE41" s="485">
        <v>1.6</v>
      </c>
      <c r="AF41" s="486">
        <f t="shared" si="19"/>
        <v>0</v>
      </c>
      <c r="AG41" s="482">
        <v>20</v>
      </c>
      <c r="AH41" s="151"/>
      <c r="AI41" s="151"/>
    </row>
    <row r="42" spans="24:35" ht="16.8">
      <c r="X42" s="159"/>
      <c r="Y42" s="466" t="s">
        <v>643</v>
      </c>
      <c r="Z42" s="482">
        <f t="shared" si="16"/>
        <v>0</v>
      </c>
      <c r="AA42" s="483">
        <v>0.3</v>
      </c>
      <c r="AB42" s="484">
        <f t="shared" si="17"/>
        <v>0</v>
      </c>
      <c r="AC42" s="485">
        <v>1.04</v>
      </c>
      <c r="AD42" s="486">
        <f t="shared" si="18"/>
        <v>0</v>
      </c>
      <c r="AE42" s="485">
        <v>2</v>
      </c>
      <c r="AF42" s="486">
        <f t="shared" si="19"/>
        <v>0</v>
      </c>
      <c r="AG42" s="482">
        <v>20</v>
      </c>
      <c r="AH42" s="151"/>
      <c r="AI42" s="151"/>
    </row>
    <row r="43" spans="24:35" ht="16.8">
      <c r="X43" s="159"/>
      <c r="Y43" s="850" t="s">
        <v>656</v>
      </c>
      <c r="Z43" s="896"/>
      <c r="AA43" s="896"/>
      <c r="AB43" s="896"/>
      <c r="AC43" s="896"/>
      <c r="AD43" s="896"/>
      <c r="AE43" s="896"/>
      <c r="AF43" s="896"/>
      <c r="AG43" s="897"/>
      <c r="AH43" s="151"/>
      <c r="AI43" s="151"/>
    </row>
    <row r="44" spans="24:35" ht="16.8">
      <c r="X44" s="159"/>
      <c r="Y44" s="466" t="s">
        <v>640</v>
      </c>
      <c r="Z44" s="482">
        <f>O9</f>
        <v>0</v>
      </c>
      <c r="AA44" s="483">
        <v>2</v>
      </c>
      <c r="AB44" s="484">
        <f>J9</f>
        <v>0</v>
      </c>
      <c r="AC44" s="485">
        <v>1.0900000000000001</v>
      </c>
      <c r="AD44" s="486">
        <f>K9</f>
        <v>0</v>
      </c>
      <c r="AE44" s="485">
        <v>0.76</v>
      </c>
      <c r="AF44" s="486">
        <f>L9</f>
        <v>0</v>
      </c>
      <c r="AG44" s="487">
        <v>10</v>
      </c>
      <c r="AH44" s="151"/>
      <c r="AI44" s="156"/>
    </row>
    <row r="45" spans="24:35" ht="16.8">
      <c r="X45" s="159"/>
      <c r="Y45" s="466" t="s">
        <v>641</v>
      </c>
      <c r="Z45" s="482">
        <f t="shared" ref="Z45:Z47" si="20">O10</f>
        <v>0</v>
      </c>
      <c r="AA45" s="483">
        <v>1</v>
      </c>
      <c r="AB45" s="484">
        <f t="shared" ref="AB45:AB47" si="21">J10</f>
        <v>0</v>
      </c>
      <c r="AC45" s="485">
        <v>1.29</v>
      </c>
      <c r="AD45" s="486">
        <f t="shared" ref="AD45:AD47" si="22">K10</f>
        <v>0</v>
      </c>
      <c r="AE45" s="485">
        <v>0.87</v>
      </c>
      <c r="AF45" s="486">
        <f t="shared" ref="AF45:AF47" si="23">L10</f>
        <v>0</v>
      </c>
      <c r="AG45" s="482">
        <v>15</v>
      </c>
      <c r="AH45" s="156"/>
      <c r="AI45" s="156"/>
    </row>
    <row r="46" spans="24:35" ht="16.8">
      <c r="X46" s="159"/>
      <c r="Y46" s="466" t="s">
        <v>642</v>
      </c>
      <c r="Z46" s="482">
        <f t="shared" si="20"/>
        <v>0</v>
      </c>
      <c r="AA46" s="483">
        <v>0.3</v>
      </c>
      <c r="AB46" s="484">
        <f t="shared" si="21"/>
        <v>0</v>
      </c>
      <c r="AC46" s="485">
        <v>0.87</v>
      </c>
      <c r="AD46" s="486">
        <f t="shared" si="22"/>
        <v>0</v>
      </c>
      <c r="AE46" s="485">
        <v>1.93</v>
      </c>
      <c r="AF46" s="486">
        <f t="shared" si="23"/>
        <v>0</v>
      </c>
      <c r="AG46" s="482">
        <v>20</v>
      </c>
      <c r="AH46" s="151"/>
      <c r="AI46" s="151"/>
    </row>
    <row r="47" spans="24:35" ht="16.8">
      <c r="X47" s="159"/>
      <c r="Y47" s="466" t="s">
        <v>643</v>
      </c>
      <c r="Z47" s="482">
        <f t="shared" si="20"/>
        <v>0</v>
      </c>
      <c r="AA47" s="483">
        <v>0.2</v>
      </c>
      <c r="AB47" s="484">
        <f t="shared" si="21"/>
        <v>0</v>
      </c>
      <c r="AC47" s="485">
        <v>0.97</v>
      </c>
      <c r="AD47" s="486">
        <f t="shared" si="22"/>
        <v>0</v>
      </c>
      <c r="AE47" s="485">
        <v>2.59</v>
      </c>
      <c r="AF47" s="486">
        <f t="shared" si="23"/>
        <v>0</v>
      </c>
      <c r="AG47" s="482">
        <v>20</v>
      </c>
      <c r="AH47" s="156"/>
      <c r="AI47" s="156"/>
    </row>
    <row r="48" spans="24:35" ht="16.8">
      <c r="X48" s="159"/>
      <c r="Y48" s="466"/>
      <c r="Z48" s="482"/>
      <c r="AA48" s="483"/>
      <c r="AB48" s="484"/>
      <c r="AC48" s="485"/>
      <c r="AD48" s="486"/>
      <c r="AE48" s="485"/>
      <c r="AF48" s="486"/>
      <c r="AG48" s="482"/>
      <c r="AH48" s="151"/>
      <c r="AI48" s="151"/>
    </row>
    <row r="49" spans="24:35">
      <c r="X49" s="143" t="s">
        <v>666</v>
      </c>
      <c r="Y49" s="150"/>
      <c r="Z49" s="151"/>
      <c r="AA49" s="151"/>
      <c r="AB49" s="163"/>
      <c r="AC49" s="164"/>
      <c r="AD49" s="165"/>
      <c r="AE49" s="164"/>
      <c r="AF49" s="166"/>
      <c r="AG49" s="167"/>
      <c r="AH49" s="168"/>
      <c r="AI49" s="169"/>
    </row>
    <row r="50" spans="24:35" ht="16.8">
      <c r="X50" s="159"/>
      <c r="Y50" s="474" t="s">
        <v>667</v>
      </c>
      <c r="Z50" s="445" t="s">
        <v>362</v>
      </c>
      <c r="AA50" s="445" t="s">
        <v>653</v>
      </c>
      <c r="AB50" s="151"/>
      <c r="AC50" s="151"/>
      <c r="AD50" s="151"/>
      <c r="AE50" s="151"/>
      <c r="AF50" s="151"/>
      <c r="AG50" s="151"/>
      <c r="AH50" s="151"/>
      <c r="AI50" s="151"/>
    </row>
    <row r="51" spans="24:35" ht="16.8">
      <c r="X51" s="159"/>
      <c r="Y51" s="474"/>
      <c r="Z51" s="488" t="s">
        <v>668</v>
      </c>
      <c r="AA51" s="488" t="s">
        <v>669</v>
      </c>
      <c r="AB51" s="151"/>
      <c r="AC51" s="151"/>
      <c r="AD51" s="151"/>
      <c r="AE51" s="151"/>
      <c r="AF51" s="151"/>
      <c r="AG51" s="151"/>
      <c r="AH51" s="151"/>
      <c r="AI51" s="151"/>
    </row>
    <row r="52" spans="24:35" ht="16.8">
      <c r="X52" s="159"/>
      <c r="Y52" s="489" t="s">
        <v>654</v>
      </c>
      <c r="Z52" s="490">
        <f>AB33*AF31*AF32/Z33/Lookups!X142</f>
        <v>0.17179180757885015</v>
      </c>
      <c r="AA52" s="491">
        <f>AB33*AF31*AF32/AA33/Lookups!X141</f>
        <v>7.1824866310160416E-3</v>
      </c>
      <c r="AB52" s="151"/>
      <c r="AC52" s="151"/>
      <c r="AD52" s="151"/>
      <c r="AE52" s="151"/>
      <c r="AF52" s="151"/>
      <c r="AG52" s="151"/>
      <c r="AH52" s="151"/>
      <c r="AI52" s="151"/>
    </row>
    <row r="53" spans="24:35" ht="16.8">
      <c r="X53" s="159"/>
      <c r="Y53" s="489" t="s">
        <v>655</v>
      </c>
      <c r="Z53" s="490">
        <f>AB34*AF31*AF32/Z34/Lookups!X142</f>
        <v>9.8166747187914377E-2</v>
      </c>
      <c r="AA53" s="491">
        <f>AB34*AF31*AF32/AA34/Lookups!X141</f>
        <v>4.1042780748663087E-3</v>
      </c>
      <c r="AB53" s="151"/>
      <c r="AC53" s="151"/>
      <c r="AD53" s="151"/>
      <c r="AE53" s="151"/>
      <c r="AF53" s="151"/>
      <c r="AG53" s="151"/>
      <c r="AH53" s="151"/>
      <c r="AI53" s="151"/>
    </row>
    <row r="54" spans="24:35" ht="16.8">
      <c r="X54" s="159"/>
      <c r="Y54" s="161"/>
      <c r="Z54" s="151"/>
      <c r="AA54" s="151"/>
      <c r="AB54" s="151"/>
      <c r="AC54" s="151"/>
      <c r="AD54" s="151"/>
      <c r="AE54" s="151"/>
      <c r="AF54" s="151"/>
      <c r="AG54" s="151"/>
      <c r="AH54" s="151"/>
      <c r="AI54" s="151"/>
    </row>
    <row r="55" spans="24:35">
      <c r="X55" s="155"/>
      <c r="Y55" s="888"/>
      <c r="Z55" s="857" t="s">
        <v>670</v>
      </c>
      <c r="AA55" s="891"/>
      <c r="AB55" s="891"/>
      <c r="AC55" s="170"/>
      <c r="AD55" s="170"/>
      <c r="AE55" s="170"/>
      <c r="AF55" s="170"/>
      <c r="AG55" s="170"/>
      <c r="AH55" s="170"/>
      <c r="AI55" s="170"/>
    </row>
    <row r="56" spans="24:35">
      <c r="X56" s="170"/>
      <c r="Y56" s="862"/>
      <c r="Z56" s="445" t="s">
        <v>625</v>
      </c>
      <c r="AA56" s="445" t="s">
        <v>626</v>
      </c>
      <c r="AB56" s="445" t="s">
        <v>2</v>
      </c>
      <c r="AC56" s="170"/>
      <c r="AD56" s="170"/>
      <c r="AE56" s="170"/>
      <c r="AF56" s="170"/>
      <c r="AG56" s="170"/>
      <c r="AH56" s="170"/>
      <c r="AI56" s="170"/>
    </row>
    <row r="57" spans="24:35">
      <c r="X57" s="170"/>
      <c r="Y57" s="861" t="s">
        <v>652</v>
      </c>
      <c r="Z57" s="862"/>
      <c r="AA57" s="862"/>
      <c r="AB57" s="862"/>
      <c r="AC57" s="171"/>
      <c r="AD57" s="171"/>
      <c r="AE57" s="171"/>
      <c r="AF57" s="171"/>
      <c r="AG57" s="170"/>
      <c r="AH57" s="170"/>
      <c r="AI57" s="170"/>
    </row>
    <row r="58" spans="24:35">
      <c r="X58" s="170"/>
      <c r="Y58" s="466" t="s">
        <v>640</v>
      </c>
      <c r="Z58" s="467">
        <f>AC39*AD19*AC19</f>
        <v>0</v>
      </c>
      <c r="AA58" s="467">
        <f>AD39*AD19*AC19</f>
        <v>0</v>
      </c>
      <c r="AB58" s="467">
        <f>Z58-AA58</f>
        <v>0</v>
      </c>
      <c r="AC58" s="170"/>
      <c r="AD58" s="170"/>
      <c r="AE58" s="170"/>
      <c r="AF58" s="170"/>
      <c r="AG58" s="170"/>
      <c r="AH58" s="170"/>
      <c r="AI58" s="170"/>
    </row>
    <row r="59" spans="24:35">
      <c r="X59" s="170"/>
      <c r="Y59" s="466" t="s">
        <v>641</v>
      </c>
      <c r="Z59" s="467">
        <f>AC40*AD20*AC20</f>
        <v>0</v>
      </c>
      <c r="AA59" s="467">
        <f>AD40*AD20*AC20</f>
        <v>0</v>
      </c>
      <c r="AB59" s="467">
        <f>Z59-AA59</f>
        <v>0</v>
      </c>
      <c r="AC59" s="170"/>
      <c r="AD59" s="170"/>
      <c r="AE59" s="170"/>
      <c r="AF59" s="170"/>
      <c r="AG59" s="170"/>
      <c r="AH59" s="170"/>
      <c r="AI59" s="170"/>
    </row>
    <row r="60" spans="24:35">
      <c r="X60" s="170"/>
      <c r="Y60" s="466" t="s">
        <v>642</v>
      </c>
      <c r="Z60" s="467">
        <f>AC41*AD21*AC21</f>
        <v>0</v>
      </c>
      <c r="AA60" s="467">
        <f>AD41*AD21*AC21</f>
        <v>0</v>
      </c>
      <c r="AB60" s="467">
        <f>Z60-AA60</f>
        <v>0</v>
      </c>
      <c r="AC60" s="170"/>
      <c r="AD60" s="170"/>
      <c r="AE60" s="170"/>
      <c r="AF60" s="170"/>
      <c r="AG60" s="170"/>
      <c r="AH60" s="170"/>
      <c r="AI60" s="170"/>
    </row>
    <row r="61" spans="24:35">
      <c r="X61" s="170"/>
      <c r="Y61" s="466" t="s">
        <v>643</v>
      </c>
      <c r="Z61" s="467">
        <f>AC42*AD22*AC22</f>
        <v>0</v>
      </c>
      <c r="AA61" s="467">
        <f>AD42*AD22*AC22</f>
        <v>0</v>
      </c>
      <c r="AB61" s="467">
        <f>Z61-AA61</f>
        <v>0</v>
      </c>
      <c r="AC61" s="170"/>
      <c r="AD61" s="170"/>
      <c r="AE61" s="170"/>
      <c r="AF61" s="170"/>
      <c r="AG61" s="170"/>
      <c r="AH61" s="170"/>
      <c r="AI61" s="170"/>
    </row>
    <row r="62" spans="24:35">
      <c r="X62" s="155"/>
      <c r="Y62" s="861" t="s">
        <v>656</v>
      </c>
      <c r="Z62" s="862"/>
      <c r="AA62" s="862"/>
      <c r="AB62" s="862"/>
      <c r="AC62" s="171"/>
      <c r="AD62" s="171"/>
      <c r="AE62" s="171"/>
      <c r="AF62" s="171"/>
      <c r="AG62" s="170"/>
      <c r="AH62" s="170"/>
      <c r="AI62" s="170"/>
    </row>
    <row r="63" spans="24:35">
      <c r="X63" s="155"/>
      <c r="Y63" s="466" t="s">
        <v>640</v>
      </c>
      <c r="Z63" s="467">
        <f>AC44*AD24*AC24</f>
        <v>0</v>
      </c>
      <c r="AA63" s="467">
        <f>AD44*AD24*AC24</f>
        <v>0</v>
      </c>
      <c r="AB63" s="467">
        <f>Z63-AA63</f>
        <v>0</v>
      </c>
      <c r="AC63" s="170"/>
      <c r="AD63" s="170"/>
      <c r="AE63" s="170"/>
      <c r="AF63" s="170"/>
      <c r="AG63" s="170"/>
      <c r="AH63" s="170"/>
      <c r="AI63" s="170"/>
    </row>
    <row r="64" spans="24:35">
      <c r="X64" s="155"/>
      <c r="Y64" s="466" t="s">
        <v>641</v>
      </c>
      <c r="Z64" s="467">
        <f>AC45*AD25*AC25</f>
        <v>0</v>
      </c>
      <c r="AA64" s="467">
        <f>AD45*AD25*AC25</f>
        <v>0</v>
      </c>
      <c r="AB64" s="467">
        <f>Z64-AA64</f>
        <v>0</v>
      </c>
      <c r="AC64" s="170"/>
      <c r="AD64" s="170"/>
      <c r="AE64" s="170"/>
      <c r="AF64" s="170"/>
      <c r="AG64" s="170"/>
      <c r="AH64" s="170"/>
      <c r="AI64" s="170"/>
    </row>
    <row r="65" spans="24:35">
      <c r="X65" s="155"/>
      <c r="Y65" s="466" t="s">
        <v>642</v>
      </c>
      <c r="Z65" s="467">
        <f>AC46*AD26*AC26</f>
        <v>0</v>
      </c>
      <c r="AA65" s="467">
        <f>AD46*AD26*AC26</f>
        <v>0</v>
      </c>
      <c r="AB65" s="467">
        <f>Z65-AA65</f>
        <v>0</v>
      </c>
      <c r="AC65" s="170"/>
      <c r="AD65" s="170"/>
      <c r="AE65" s="170"/>
      <c r="AF65" s="170"/>
      <c r="AG65" s="170"/>
      <c r="AH65" s="170"/>
      <c r="AI65" s="170"/>
    </row>
    <row r="66" spans="24:35">
      <c r="X66" s="155"/>
      <c r="Y66" s="466" t="s">
        <v>643</v>
      </c>
      <c r="Z66" s="467">
        <f>AC47*AD27*AC27</f>
        <v>0</v>
      </c>
      <c r="AA66" s="467">
        <f>AD47*AD27*AC27</f>
        <v>0</v>
      </c>
      <c r="AB66" s="467">
        <f>Z66-AA66</f>
        <v>0</v>
      </c>
      <c r="AC66" s="170"/>
      <c r="AD66" s="170"/>
      <c r="AE66" s="170"/>
      <c r="AF66" s="170"/>
      <c r="AG66" s="170"/>
      <c r="AH66" s="170"/>
      <c r="AI66" s="170"/>
    </row>
    <row r="67" spans="24:35">
      <c r="X67" s="155"/>
      <c r="Y67" s="466"/>
      <c r="Z67" s="467"/>
      <c r="AA67" s="467"/>
      <c r="AB67" s="467"/>
      <c r="AC67" s="170"/>
      <c r="AD67" s="170"/>
      <c r="AE67" s="170"/>
      <c r="AF67" s="170"/>
      <c r="AG67" s="172"/>
      <c r="AH67" s="173"/>
      <c r="AI67" s="174"/>
    </row>
    <row r="68" spans="24:35">
      <c r="X68" s="155"/>
      <c r="Y68" s="175"/>
      <c r="Z68" s="172"/>
      <c r="AA68" s="172"/>
      <c r="AB68" s="172"/>
      <c r="AC68" s="172"/>
      <c r="AD68" s="172"/>
      <c r="AE68" s="172"/>
      <c r="AF68" s="172"/>
      <c r="AG68" s="172"/>
      <c r="AH68" s="173"/>
      <c r="AI68" s="174"/>
    </row>
    <row r="69" spans="24:35">
      <c r="X69" s="155"/>
      <c r="Y69" s="888"/>
      <c r="Z69" s="857" t="s">
        <v>671</v>
      </c>
      <c r="AA69" s="891"/>
      <c r="AB69" s="891"/>
      <c r="AC69" s="891"/>
      <c r="AD69" s="857" t="s">
        <v>672</v>
      </c>
      <c r="AE69" s="857"/>
      <c r="AF69" s="857"/>
      <c r="AG69" s="891"/>
      <c r="AH69" s="857" t="s">
        <v>673</v>
      </c>
      <c r="AI69" s="891"/>
    </row>
    <row r="70" spans="24:35">
      <c r="X70" s="155"/>
      <c r="Y70" s="888"/>
      <c r="Z70" s="857" t="s">
        <v>625</v>
      </c>
      <c r="AA70" s="857"/>
      <c r="AB70" s="857" t="s">
        <v>626</v>
      </c>
      <c r="AC70" s="862"/>
      <c r="AD70" s="857" t="s">
        <v>625</v>
      </c>
      <c r="AE70" s="857"/>
      <c r="AF70" s="857" t="s">
        <v>626</v>
      </c>
      <c r="AG70" s="862"/>
      <c r="AH70" s="891"/>
      <c r="AI70" s="891"/>
    </row>
    <row r="71" spans="24:35">
      <c r="X71" s="155"/>
      <c r="Y71" s="862"/>
      <c r="Z71" s="445" t="s">
        <v>674</v>
      </c>
      <c r="AA71" s="445" t="s">
        <v>675</v>
      </c>
      <c r="AB71" s="445" t="s">
        <v>674</v>
      </c>
      <c r="AC71" s="445" t="s">
        <v>675</v>
      </c>
      <c r="AD71" s="445" t="s">
        <v>674</v>
      </c>
      <c r="AE71" s="445" t="s">
        <v>675</v>
      </c>
      <c r="AF71" s="445" t="s">
        <v>674</v>
      </c>
      <c r="AG71" s="445" t="s">
        <v>675</v>
      </c>
      <c r="AH71" s="445" t="s">
        <v>625</v>
      </c>
      <c r="AI71" s="445" t="s">
        <v>626</v>
      </c>
    </row>
    <row r="72" spans="24:35">
      <c r="X72" s="155"/>
      <c r="Y72" s="861" t="s">
        <v>652</v>
      </c>
      <c r="Z72" s="862"/>
      <c r="AA72" s="862"/>
      <c r="AB72" s="862"/>
      <c r="AC72" s="862"/>
      <c r="AD72" s="862"/>
      <c r="AE72" s="862"/>
      <c r="AF72" s="862"/>
      <c r="AG72" s="862"/>
      <c r="AH72" s="862"/>
      <c r="AI72" s="862"/>
    </row>
    <row r="73" spans="24:35">
      <c r="X73" s="155"/>
      <c r="Y73" s="466" t="s">
        <v>640</v>
      </c>
      <c r="Z73" s="467">
        <f>Z58*(IF(M5="electric",Z$52,0))</f>
        <v>0</v>
      </c>
      <c r="AA73" s="467">
        <f>Z58*(IF(M5="natural gas",AA$52,0))</f>
        <v>0</v>
      </c>
      <c r="AB73" s="467">
        <f>AA58*(IF(M5="electric",Z$52,0))</f>
        <v>0</v>
      </c>
      <c r="AC73" s="467">
        <f>AA58*(IF(M5="natural gas",AA$52,0))</f>
        <v>0</v>
      </c>
      <c r="AD73" s="900" t="s">
        <v>332</v>
      </c>
      <c r="AE73" s="901"/>
      <c r="AF73" s="901"/>
      <c r="AG73" s="902"/>
      <c r="AH73" s="467">
        <f>AE39*(Z39*AC19-AC19*AD19*AA39/60)</f>
        <v>0</v>
      </c>
      <c r="AI73" s="467">
        <f>AF39*(Z39*AC19-AC19*AD19*AB39/60)</f>
        <v>0</v>
      </c>
    </row>
    <row r="74" spans="24:35">
      <c r="X74" s="155"/>
      <c r="Y74" s="466" t="s">
        <v>641</v>
      </c>
      <c r="Z74" s="467">
        <f t="shared" ref="Z74:Z76" si="24">Z59*(IF(M6="electric",Z$52,0))</f>
        <v>0</v>
      </c>
      <c r="AA74" s="467">
        <f t="shared" ref="AA74:AA76" si="25">Z59*(IF(M6="natural gas",AA$52,0))</f>
        <v>0</v>
      </c>
      <c r="AB74" s="467">
        <f t="shared" ref="AB74:AB76" si="26">AA59*(IF(M6="electric",Z$52,0))</f>
        <v>0</v>
      </c>
      <c r="AC74" s="467">
        <f t="shared" ref="AC74:AC76" si="27">AA59*(IF(M6="natural gas",AA$52,0))</f>
        <v>0</v>
      </c>
      <c r="AD74" s="903"/>
      <c r="AE74" s="904"/>
      <c r="AF74" s="904"/>
      <c r="AG74" s="905"/>
      <c r="AH74" s="467">
        <f>AE40*(Z40*AC20-AC20*AD20*AA40/60)</f>
        <v>0</v>
      </c>
      <c r="AI74" s="467">
        <f>AF40*(Z40*AC20-AC20*AD20*AB40/60)</f>
        <v>0</v>
      </c>
    </row>
    <row r="75" spans="24:35">
      <c r="X75" s="155"/>
      <c r="Y75" s="466" t="s">
        <v>642</v>
      </c>
      <c r="Z75" s="467">
        <f t="shared" si="24"/>
        <v>0</v>
      </c>
      <c r="AA75" s="467">
        <f t="shared" si="25"/>
        <v>0</v>
      </c>
      <c r="AB75" s="467">
        <f t="shared" si="26"/>
        <v>0</v>
      </c>
      <c r="AC75" s="467">
        <f t="shared" si="27"/>
        <v>0</v>
      </c>
      <c r="AD75" s="903"/>
      <c r="AE75" s="904"/>
      <c r="AF75" s="904"/>
      <c r="AG75" s="905"/>
      <c r="AH75" s="467">
        <f>AE41*(Z41*AC21-AC21*AD21*AA41/60)</f>
        <v>0</v>
      </c>
      <c r="AI75" s="467">
        <f>AF41*(Z41*AC21-AC21*AD21*AB41/60)</f>
        <v>0</v>
      </c>
    </row>
    <row r="76" spans="24:35">
      <c r="X76" s="155"/>
      <c r="Y76" s="466" t="s">
        <v>643</v>
      </c>
      <c r="Z76" s="467">
        <f t="shared" si="24"/>
        <v>0</v>
      </c>
      <c r="AA76" s="467">
        <f t="shared" si="25"/>
        <v>0</v>
      </c>
      <c r="AB76" s="467">
        <f t="shared" si="26"/>
        <v>0</v>
      </c>
      <c r="AC76" s="467">
        <f t="shared" si="27"/>
        <v>0</v>
      </c>
      <c r="AD76" s="906"/>
      <c r="AE76" s="907"/>
      <c r="AF76" s="907"/>
      <c r="AG76" s="908"/>
      <c r="AH76" s="467">
        <f>AE42*(Z42*AC22-AC22*AD22*AA42/60)</f>
        <v>0</v>
      </c>
      <c r="AI76" s="467">
        <f>AF42*(Z42*AC22-AC22*AD22*AB42/60)</f>
        <v>0</v>
      </c>
    </row>
    <row r="77" spans="24:35">
      <c r="X77" s="155"/>
      <c r="Y77" s="861" t="s">
        <v>656</v>
      </c>
      <c r="Z77" s="862"/>
      <c r="AA77" s="862"/>
      <c r="AB77" s="862"/>
      <c r="AC77" s="862"/>
      <c r="AD77" s="862"/>
      <c r="AE77" s="862"/>
      <c r="AF77" s="862"/>
      <c r="AG77" s="862"/>
      <c r="AH77" s="862"/>
      <c r="AI77" s="862"/>
    </row>
    <row r="78" spans="24:35">
      <c r="X78" s="155"/>
      <c r="Y78" s="466" t="s">
        <v>640</v>
      </c>
      <c r="Z78" s="467">
        <f t="shared" ref="Z78:Z80" si="28">Z63*(IF(M9="electric",Z$52,0))</f>
        <v>0</v>
      </c>
      <c r="AA78" s="467">
        <f>Z63*(IF(M9="natural gas",AA$52,0))</f>
        <v>0</v>
      </c>
      <c r="AB78" s="467">
        <f>AA63*(IF(M9="electric",Z$52,0))</f>
        <v>0</v>
      </c>
      <c r="AC78" s="467">
        <f>AA63*(IF(M9="natural gas",AA$52,0))</f>
        <v>0</v>
      </c>
      <c r="AD78" s="467">
        <f>Z63*(IF(N9="electric",Z$53,0))</f>
        <v>0</v>
      </c>
      <c r="AE78" s="467">
        <f>Z63*(IF(N9="natural gas",AA$53,0))</f>
        <v>0</v>
      </c>
      <c r="AF78" s="467">
        <f>AA63*(IF(N9="electric",Z$53,0))</f>
        <v>0</v>
      </c>
      <c r="AG78" s="467">
        <f>AA63*(IF(N9="natural gas",AA$53,0))</f>
        <v>0</v>
      </c>
      <c r="AH78" s="467">
        <f>AE44*(Z44*AC24-AC24*AD24*AA44/60)</f>
        <v>0</v>
      </c>
      <c r="AI78" s="467">
        <f>AF44*(Z44*AC24-AC24*AD24*AB44/60)</f>
        <v>0</v>
      </c>
    </row>
    <row r="79" spans="24:35">
      <c r="X79" s="155"/>
      <c r="Y79" s="466" t="s">
        <v>641</v>
      </c>
      <c r="Z79" s="467">
        <f t="shared" si="28"/>
        <v>0</v>
      </c>
      <c r="AA79" s="467">
        <f t="shared" ref="AA79:AA81" si="29">Z64*(IF(M10="natural gas",AA$52,0))</f>
        <v>0</v>
      </c>
      <c r="AB79" s="467">
        <f t="shared" ref="AB79:AB81" si="30">AA64*(IF(M10="electric",Z$52,0))</f>
        <v>0</v>
      </c>
      <c r="AC79" s="467">
        <f t="shared" ref="AC79:AC81" si="31">AA64*(IF(M10="natural gas",AA$52,0))</f>
        <v>0</v>
      </c>
      <c r="AD79" s="467">
        <f t="shared" ref="AD79:AD81" si="32">Z64*(IF(N10="electric",Z$53,0))</f>
        <v>0</v>
      </c>
      <c r="AE79" s="467">
        <f t="shared" ref="AE79:AE81" si="33">Z64*(IF(N10="natural gas",AA$53,0))</f>
        <v>0</v>
      </c>
      <c r="AF79" s="467">
        <f t="shared" ref="AF79:AF81" si="34">AA64*(IF(N10="electric",Z$53,0))</f>
        <v>0</v>
      </c>
      <c r="AG79" s="467">
        <f t="shared" ref="AG79:AG81" si="35">AA64*(IF(N10="natural gas",AA$53,0))</f>
        <v>0</v>
      </c>
      <c r="AH79" s="467">
        <f>AE45*(Z45*AC25-AC25*AD25*AA45/60)</f>
        <v>0</v>
      </c>
      <c r="AI79" s="467">
        <f>AF45*(Z45*AC25-AC25*AD25*AB45/60)</f>
        <v>0</v>
      </c>
    </row>
    <row r="80" spans="24:35">
      <c r="X80" s="155"/>
      <c r="Y80" s="466" t="s">
        <v>642</v>
      </c>
      <c r="Z80" s="467">
        <f t="shared" si="28"/>
        <v>0</v>
      </c>
      <c r="AA80" s="467">
        <f t="shared" si="29"/>
        <v>0</v>
      </c>
      <c r="AB80" s="467">
        <f t="shared" si="30"/>
        <v>0</v>
      </c>
      <c r="AC80" s="467">
        <f t="shared" si="31"/>
        <v>0</v>
      </c>
      <c r="AD80" s="467">
        <f t="shared" si="32"/>
        <v>0</v>
      </c>
      <c r="AE80" s="467">
        <f t="shared" si="33"/>
        <v>0</v>
      </c>
      <c r="AF80" s="467">
        <f t="shared" si="34"/>
        <v>0</v>
      </c>
      <c r="AG80" s="467">
        <f t="shared" si="35"/>
        <v>0</v>
      </c>
      <c r="AH80" s="467">
        <f>AE46*(Z46*AC26-AC26*AD26*AA46/60)</f>
        <v>0</v>
      </c>
      <c r="AI80" s="467">
        <f>AF46*(Z46*AC26-AC26*AD26*AB46/60)</f>
        <v>0</v>
      </c>
    </row>
    <row r="81" spans="24:35">
      <c r="X81" s="155"/>
      <c r="Y81" s="466" t="s">
        <v>643</v>
      </c>
      <c r="Z81" s="467">
        <f>Z66*(IF(M12="electric",Z$52,0))</f>
        <v>0</v>
      </c>
      <c r="AA81" s="467">
        <f t="shared" si="29"/>
        <v>0</v>
      </c>
      <c r="AB81" s="467">
        <f t="shared" si="30"/>
        <v>0</v>
      </c>
      <c r="AC81" s="467">
        <f t="shared" si="31"/>
        <v>0</v>
      </c>
      <c r="AD81" s="467">
        <f t="shared" si="32"/>
        <v>0</v>
      </c>
      <c r="AE81" s="467">
        <f t="shared" si="33"/>
        <v>0</v>
      </c>
      <c r="AF81" s="467">
        <f t="shared" si="34"/>
        <v>0</v>
      </c>
      <c r="AG81" s="467">
        <f t="shared" si="35"/>
        <v>0</v>
      </c>
      <c r="AH81" s="467">
        <f>AE47*(Z47*AC27-AC27*AD27*AA47/60)</f>
        <v>0</v>
      </c>
      <c r="AI81" s="467">
        <f>AF47*(Z47*AC27-AC27*AD27*AB47/60)</f>
        <v>0</v>
      </c>
    </row>
    <row r="82" spans="24:35">
      <c r="X82" s="155"/>
      <c r="Y82" s="466"/>
      <c r="Z82" s="467"/>
      <c r="AA82" s="467"/>
      <c r="AB82" s="467"/>
      <c r="AC82" s="467"/>
      <c r="AD82" s="467"/>
      <c r="AE82" s="467"/>
      <c r="AF82" s="467"/>
      <c r="AG82" s="467"/>
      <c r="AH82" s="467"/>
      <c r="AI82" s="467"/>
    </row>
    <row r="83" spans="24:35">
      <c r="X83" s="143" t="s">
        <v>676</v>
      </c>
      <c r="Y83" s="150"/>
      <c r="Z83" s="176"/>
      <c r="AA83" s="177"/>
      <c r="AB83" s="178"/>
      <c r="AC83" s="151"/>
      <c r="AD83" s="151"/>
      <c r="AE83" s="151"/>
      <c r="AF83" s="151"/>
      <c r="AG83" s="151"/>
      <c r="AH83" s="151"/>
      <c r="AI83" s="151"/>
    </row>
    <row r="84" spans="24:35" ht="14.25" customHeight="1">
      <c r="X84" s="155"/>
      <c r="Y84" s="888"/>
      <c r="Z84" s="857" t="s">
        <v>625</v>
      </c>
      <c r="AA84" s="857"/>
      <c r="AB84" s="857" t="s">
        <v>626</v>
      </c>
      <c r="AC84" s="862"/>
      <c r="AD84" s="492" t="s">
        <v>2</v>
      </c>
      <c r="AE84" s="441"/>
      <c r="AG84" s="853" t="s">
        <v>628</v>
      </c>
      <c r="AH84" s="179"/>
      <c r="AI84" s="170"/>
    </row>
    <row r="85" spans="24:35">
      <c r="X85" s="170"/>
      <c r="Y85" s="888"/>
      <c r="Z85" s="445" t="s">
        <v>674</v>
      </c>
      <c r="AA85" s="445" t="s">
        <v>675</v>
      </c>
      <c r="AB85" s="445" t="s">
        <v>674</v>
      </c>
      <c r="AC85" s="445" t="s">
        <v>675</v>
      </c>
      <c r="AD85" s="445" t="s">
        <v>674</v>
      </c>
      <c r="AE85" s="445" t="s">
        <v>677</v>
      </c>
      <c r="AF85" s="445" t="s">
        <v>675</v>
      </c>
      <c r="AG85" s="854"/>
      <c r="AH85" s="179"/>
      <c r="AI85" s="170"/>
    </row>
    <row r="86" spans="24:35">
      <c r="X86" s="170"/>
      <c r="Y86" s="444" t="s">
        <v>652</v>
      </c>
      <c r="Z86" s="480"/>
      <c r="AA86" s="480"/>
      <c r="AB86" s="480"/>
      <c r="AC86" s="480"/>
      <c r="AD86" s="480"/>
      <c r="AE86" s="480"/>
      <c r="AF86" s="481"/>
      <c r="AG86" s="445"/>
      <c r="AH86" s="170"/>
      <c r="AI86" s="170"/>
    </row>
    <row r="87" spans="24:35">
      <c r="X87" s="170"/>
      <c r="Y87" s="466" t="s">
        <v>640</v>
      </c>
      <c r="Z87" s="467">
        <f>Z73+AH73</f>
        <v>0</v>
      </c>
      <c r="AA87" s="467">
        <f>AA73</f>
        <v>0</v>
      </c>
      <c r="AB87" s="467">
        <f>AB73+AI73</f>
        <v>0</v>
      </c>
      <c r="AC87" s="467">
        <f>AC73</f>
        <v>0</v>
      </c>
      <c r="AD87" s="467">
        <f>H5*(Z87-AB87)</f>
        <v>0</v>
      </c>
      <c r="AE87" s="493" t="e">
        <f>(AD87*0.9)/(Z39*AC19)</f>
        <v>#DIV/0!</v>
      </c>
      <c r="AF87" s="467">
        <f>H5*(AA87-AC87)</f>
        <v>0</v>
      </c>
      <c r="AG87" s="494">
        <f>H5*'Incentive Levels'!F14</f>
        <v>0</v>
      </c>
      <c r="AH87" s="181"/>
      <c r="AI87" s="170"/>
    </row>
    <row r="88" spans="24:35">
      <c r="X88" s="170"/>
      <c r="Y88" s="466" t="s">
        <v>641</v>
      </c>
      <c r="Z88" s="467">
        <f>Z74+AH74</f>
        <v>0</v>
      </c>
      <c r="AA88" s="467">
        <f>AA74</f>
        <v>0</v>
      </c>
      <c r="AB88" s="467">
        <f>AB74+AI74</f>
        <v>0</v>
      </c>
      <c r="AC88" s="467">
        <f>AC74</f>
        <v>0</v>
      </c>
      <c r="AD88" s="467">
        <f t="shared" ref="AD88:AD90" si="36">H6*(Z88-AB88)</f>
        <v>0</v>
      </c>
      <c r="AE88" s="493" t="e">
        <f t="shared" ref="AE88:AE95" si="37">(AD88*0.9)/(Z40*AC20)</f>
        <v>#DIV/0!</v>
      </c>
      <c r="AF88" s="467">
        <f t="shared" ref="AF88:AF90" si="38">H6*(AA88-AC88)</f>
        <v>0</v>
      </c>
      <c r="AG88" s="494">
        <f>H6*'Incentive Levels'!F15</f>
        <v>0</v>
      </c>
      <c r="AH88" s="181"/>
      <c r="AI88" s="170"/>
    </row>
    <row r="89" spans="24:35">
      <c r="X89" s="170"/>
      <c r="Y89" s="466" t="s">
        <v>642</v>
      </c>
      <c r="Z89" s="467">
        <f>Z75+AH75</f>
        <v>0</v>
      </c>
      <c r="AA89" s="467">
        <f>AA75</f>
        <v>0</v>
      </c>
      <c r="AB89" s="467">
        <f>AB75+AI75</f>
        <v>0</v>
      </c>
      <c r="AC89" s="467">
        <f>AC75</f>
        <v>0</v>
      </c>
      <c r="AD89" s="467">
        <f t="shared" si="36"/>
        <v>0</v>
      </c>
      <c r="AE89" s="493" t="e">
        <f t="shared" si="37"/>
        <v>#DIV/0!</v>
      </c>
      <c r="AF89" s="467">
        <f t="shared" si="38"/>
        <v>0</v>
      </c>
      <c r="AG89" s="494">
        <f>H7*'Incentive Levels'!F16</f>
        <v>0</v>
      </c>
      <c r="AH89" s="181"/>
      <c r="AI89" s="170"/>
    </row>
    <row r="90" spans="24:35">
      <c r="X90" s="170"/>
      <c r="Y90" s="466" t="s">
        <v>643</v>
      </c>
      <c r="Z90" s="467">
        <f>Z76+AH76</f>
        <v>0</v>
      </c>
      <c r="AA90" s="467">
        <f>AA76</f>
        <v>0</v>
      </c>
      <c r="AB90" s="467">
        <f>AB76+AI76</f>
        <v>0</v>
      </c>
      <c r="AC90" s="467">
        <f>AC76</f>
        <v>0</v>
      </c>
      <c r="AD90" s="467">
        <f t="shared" si="36"/>
        <v>0</v>
      </c>
      <c r="AE90" s="493" t="e">
        <f t="shared" si="37"/>
        <v>#DIV/0!</v>
      </c>
      <c r="AF90" s="467">
        <f t="shared" si="38"/>
        <v>0</v>
      </c>
      <c r="AG90" s="494">
        <f>H8*'Incentive Levels'!F17</f>
        <v>0</v>
      </c>
      <c r="AH90" s="181"/>
      <c r="AI90" s="170"/>
    </row>
    <row r="91" spans="24:35">
      <c r="X91" s="155"/>
      <c r="Y91" s="444" t="s">
        <v>656</v>
      </c>
      <c r="Z91" s="480"/>
      <c r="AA91" s="480"/>
      <c r="AB91" s="480"/>
      <c r="AC91" s="480"/>
      <c r="AD91" s="480"/>
      <c r="AE91" s="495"/>
      <c r="AF91" s="481"/>
      <c r="AG91" s="198"/>
      <c r="AH91" s="170"/>
      <c r="AI91" s="170"/>
    </row>
    <row r="92" spans="24:35">
      <c r="X92" s="155"/>
      <c r="Y92" s="466" t="s">
        <v>640</v>
      </c>
      <c r="Z92" s="467">
        <f>Z78+AD78+AH78</f>
        <v>0</v>
      </c>
      <c r="AA92" s="467">
        <f>AA78+AE78</f>
        <v>0</v>
      </c>
      <c r="AB92" s="467">
        <f>AB78+AF78+AI78</f>
        <v>0</v>
      </c>
      <c r="AC92" s="467">
        <f>AC78+AG78</f>
        <v>0</v>
      </c>
      <c r="AD92" s="467">
        <f>H9*(Z92-AB92)</f>
        <v>0</v>
      </c>
      <c r="AE92" s="493" t="e">
        <f t="shared" si="37"/>
        <v>#DIV/0!</v>
      </c>
      <c r="AF92" s="467">
        <f>H9*(AA92-AC92)</f>
        <v>0</v>
      </c>
      <c r="AG92" s="494">
        <f>H9*'Incentive Levels'!F18</f>
        <v>0</v>
      </c>
      <c r="AH92" s="180"/>
      <c r="AI92" s="170"/>
    </row>
    <row r="93" spans="24:35">
      <c r="X93" s="155"/>
      <c r="Y93" s="466" t="s">
        <v>641</v>
      </c>
      <c r="Z93" s="467">
        <f>Z79+AD79+AH79</f>
        <v>0</v>
      </c>
      <c r="AA93" s="467">
        <f>AA79+AE79</f>
        <v>0</v>
      </c>
      <c r="AB93" s="467">
        <f>AB79+AF79+AI79</f>
        <v>0</v>
      </c>
      <c r="AC93" s="467">
        <f>AC79+AG79</f>
        <v>0</v>
      </c>
      <c r="AD93" s="467">
        <f t="shared" ref="AD93:AD95" si="39">H10*(Z93-AB93)</f>
        <v>0</v>
      </c>
      <c r="AE93" s="493" t="e">
        <f t="shared" si="37"/>
        <v>#DIV/0!</v>
      </c>
      <c r="AF93" s="467">
        <f t="shared" ref="AF93:AF95" si="40">H10*(AA93-AC93)</f>
        <v>0</v>
      </c>
      <c r="AG93" s="494">
        <f>H10*'Incentive Levels'!F19</f>
        <v>0</v>
      </c>
      <c r="AH93" s="180"/>
      <c r="AI93" s="170"/>
    </row>
    <row r="94" spans="24:35">
      <c r="X94" s="155"/>
      <c r="Y94" s="466" t="s">
        <v>642</v>
      </c>
      <c r="Z94" s="467">
        <f>Z80+AD80+AH80</f>
        <v>0</v>
      </c>
      <c r="AA94" s="467">
        <f>AA80+AE80</f>
        <v>0</v>
      </c>
      <c r="AB94" s="467">
        <f>AB80+AF80+AI80</f>
        <v>0</v>
      </c>
      <c r="AC94" s="467">
        <f>AC80+AG80</f>
        <v>0</v>
      </c>
      <c r="AD94" s="467">
        <f t="shared" si="39"/>
        <v>0</v>
      </c>
      <c r="AE94" s="493" t="e">
        <f t="shared" si="37"/>
        <v>#DIV/0!</v>
      </c>
      <c r="AF94" s="467">
        <f t="shared" si="40"/>
        <v>0</v>
      </c>
      <c r="AG94" s="494">
        <f>H11*'Incentive Levels'!F20</f>
        <v>0</v>
      </c>
      <c r="AH94" s="180"/>
      <c r="AI94" s="170"/>
    </row>
    <row r="95" spans="24:35">
      <c r="X95" s="155"/>
      <c r="Y95" s="466" t="s">
        <v>643</v>
      </c>
      <c r="Z95" s="467">
        <f>Z81+AD81+AH81</f>
        <v>0</v>
      </c>
      <c r="AA95" s="467">
        <f>AA81+AE81</f>
        <v>0</v>
      </c>
      <c r="AB95" s="467">
        <f>AB81+AF81+AI81</f>
        <v>0</v>
      </c>
      <c r="AC95" s="467">
        <f>AC81+AG81</f>
        <v>0</v>
      </c>
      <c r="AD95" s="467">
        <f t="shared" si="39"/>
        <v>0</v>
      </c>
      <c r="AE95" s="493" t="e">
        <f t="shared" si="37"/>
        <v>#DIV/0!</v>
      </c>
      <c r="AF95" s="467">
        <f t="shared" si="40"/>
        <v>0</v>
      </c>
      <c r="AG95" s="494">
        <f>H12*'Incentive Levels'!F21</f>
        <v>0</v>
      </c>
      <c r="AH95" s="180"/>
      <c r="AI95" s="170"/>
    </row>
    <row r="96" spans="24:35">
      <c r="X96" s="155"/>
      <c r="Y96" s="466"/>
      <c r="Z96" s="467"/>
      <c r="AA96" s="467"/>
      <c r="AB96" s="467"/>
      <c r="AC96" s="467"/>
      <c r="AD96" s="467"/>
      <c r="AE96" s="467"/>
      <c r="AF96" s="182"/>
      <c r="AG96" s="170"/>
      <c r="AH96" s="180"/>
      <c r="AI96" s="170"/>
    </row>
    <row r="97" spans="24:35">
      <c r="X97" s="183"/>
      <c r="Y97" s="184"/>
      <c r="Z97" s="185"/>
      <c r="AA97" s="185"/>
      <c r="AB97" s="183"/>
      <c r="AC97" s="183"/>
      <c r="AD97" s="183"/>
      <c r="AE97" s="183"/>
      <c r="AF97" s="183"/>
      <c r="AG97" s="183"/>
      <c r="AH97" s="183"/>
      <c r="AI97" s="183"/>
    </row>
  </sheetData>
  <sheetProtection algorithmName="SHA-512" hashValue="7qTqweAS14IvdgWoFDaXOnK/pDez7PH73gM9LX2gTYjoFb2L/QLB3cbizPUuzFGnwKv9wNNT3ChGGniqw6v8jQ==" saltValue="fJ7VkRaH8vWofHAZbYxUoQ==" spinCount="100000" sheet="1" objects="1" scenarios="1"/>
  <protectedRanges>
    <protectedRange sqref="D5:E12 H5:M12 N9:P12 O5:P8 E20:G21" name="Range1"/>
  </protectedRanges>
  <mergeCells count="47">
    <mergeCell ref="G17:G19"/>
    <mergeCell ref="E17:F18"/>
    <mergeCell ref="F9:F12"/>
    <mergeCell ref="F5:F8"/>
    <mergeCell ref="D2:P2"/>
    <mergeCell ref="Y72:AI72"/>
    <mergeCell ref="AD73:AG76"/>
    <mergeCell ref="Y77:AI77"/>
    <mergeCell ref="Y84:Y85"/>
    <mergeCell ref="Z84:AA84"/>
    <mergeCell ref="AB84:AC84"/>
    <mergeCell ref="AG84:AG85"/>
    <mergeCell ref="AH69:AI70"/>
    <mergeCell ref="Z70:AA70"/>
    <mergeCell ref="AB70:AC70"/>
    <mergeCell ref="AD70:AE70"/>
    <mergeCell ref="AF70:AG70"/>
    <mergeCell ref="Y18:AG18"/>
    <mergeCell ref="Y62:AB62"/>
    <mergeCell ref="Y69:Y71"/>
    <mergeCell ref="Z69:AC69"/>
    <mergeCell ref="AD69:AG69"/>
    <mergeCell ref="AG19:AG22"/>
    <mergeCell ref="AG36:AG37"/>
    <mergeCell ref="Y38:AG38"/>
    <mergeCell ref="Y43:AG43"/>
    <mergeCell ref="Y55:Y56"/>
    <mergeCell ref="Z55:AB55"/>
    <mergeCell ref="Y36:Y37"/>
    <mergeCell ref="Z36:Z37"/>
    <mergeCell ref="AA36:AB36"/>
    <mergeCell ref="R2:U2"/>
    <mergeCell ref="Y57:AB57"/>
    <mergeCell ref="AC36:AD36"/>
    <mergeCell ref="AE36:AF36"/>
    <mergeCell ref="A2:A3"/>
    <mergeCell ref="B2:B3"/>
    <mergeCell ref="C2:C3"/>
    <mergeCell ref="Y23:AF23"/>
    <mergeCell ref="Y30:Y32"/>
    <mergeCell ref="Z30:AA31"/>
    <mergeCell ref="AB30:AB32"/>
    <mergeCell ref="AD31:AE31"/>
    <mergeCell ref="AD32:AE32"/>
    <mergeCell ref="Y16:Y17"/>
    <mergeCell ref="Z16:AB16"/>
    <mergeCell ref="AC16:AG16"/>
  </mergeCells>
  <conditionalFormatting sqref="N5:N8">
    <cfRule type="expression" dxfId="5" priority="52">
      <formula>$M5&gt;65000</formula>
    </cfRule>
    <cfRule type="expression" dxfId="4" priority="53">
      <formula>$C5&lt;65000</formula>
    </cfRule>
  </conditionalFormatting>
  <conditionalFormatting sqref="Y21:AB22 AE21:AE22">
    <cfRule type="expression" dxfId="3" priority="5" stopIfTrue="1">
      <formula>#REF!=0</formula>
    </cfRule>
  </conditionalFormatting>
  <conditionalFormatting sqref="Y19:AF19 AC20:AD22 AF20:AF22">
    <cfRule type="expression" dxfId="2" priority="7" stopIfTrue="1">
      <formula>#REF!=0</formula>
    </cfRule>
  </conditionalFormatting>
  <conditionalFormatting sqref="Y24:AG27">
    <cfRule type="expression" dxfId="1" priority="3" stopIfTrue="1">
      <formula>#REF!=0</formula>
    </cfRule>
  </conditionalFormatting>
  <conditionalFormatting sqref="AG31">
    <cfRule type="expression" dxfId="0" priority="9">
      <formula>#REF!=0</formula>
    </cfRule>
  </conditionalFormatting>
  <dataValidations count="2">
    <dataValidation type="decimal" allowBlank="1" showInputMessage="1" showErrorMessage="1" sqref="D1:F1" xr:uid="{E80E1BAF-AACC-4891-9C51-8E06102C47F5}">
      <formula1>0</formula1>
      <formula2>999999999999999000</formula2>
    </dataValidation>
    <dataValidation allowBlank="1" showInputMessage="1" error="The value must be between 0 and 100%." prompt="Low temperature models do not include a booster heater." sqref="N5:N8" xr:uid="{728A400E-59E3-4305-9746-FBFD9D401D8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DED61C-EFC8-47DD-9260-902BC2243AFB}">
          <x14:formula1>
            <xm:f>Lookups!$X$111:$X$112</xm:f>
          </x14:formula1>
          <xm:sqref>M5:M12 N9:N12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E6DC-5FBA-4D05-8986-860387BB4078}">
  <sheetPr codeName="Sheet10">
    <tabColor theme="4" tint="0.39997558519241921"/>
  </sheetPr>
  <dimension ref="A1:AE49"/>
  <sheetViews>
    <sheetView topLeftCell="C1" zoomScaleNormal="100" workbookViewId="0">
      <selection activeCell="D1" sqref="D1"/>
    </sheetView>
  </sheetViews>
  <sheetFormatPr defaultColWidth="0" defaultRowHeight="13.8"/>
  <cols>
    <col min="1" max="1" width="10.5546875" style="6" hidden="1" customWidth="1"/>
    <col min="2" max="2" width="9.33203125" style="6" hidden="1" customWidth="1"/>
    <col min="3" max="3" width="5.88671875" style="6" customWidth="1"/>
    <col min="4" max="4" width="11.6640625" style="6" bestFit="1" customWidth="1"/>
    <col min="5" max="5" width="16.109375" style="6" customWidth="1"/>
    <col min="6" max="6" width="21" style="6" customWidth="1"/>
    <col min="7" max="7" width="24.5546875" style="6" bestFit="1" customWidth="1"/>
    <col min="8" max="8" width="12.6640625" style="6" bestFit="1" customWidth="1"/>
    <col min="9" max="9" width="13.33203125" style="6" customWidth="1"/>
    <col min="10" max="10" width="14.44140625" style="6" bestFit="1" customWidth="1"/>
    <col min="11" max="12" width="14.109375" style="6" customWidth="1"/>
    <col min="13" max="13" width="1.88671875" style="6" customWidth="1"/>
    <col min="14" max="17" width="10" style="6" customWidth="1"/>
    <col min="18" max="18" width="10.5546875" style="6" customWidth="1"/>
    <col min="19" max="19" width="10" style="6" customWidth="1"/>
    <col min="20" max="20" width="10" style="6" hidden="1" customWidth="1"/>
    <col min="21" max="21" width="18.109375" style="6" hidden="1" customWidth="1"/>
    <col min="22" max="22" width="34.5546875" style="6" hidden="1" customWidth="1"/>
    <col min="23" max="24" width="15" style="6" hidden="1" customWidth="1"/>
    <col min="25" max="26" width="17.88671875" style="6" hidden="1" customWidth="1"/>
    <col min="27" max="27" width="18" style="6" hidden="1" customWidth="1"/>
    <col min="28" max="28" width="15" style="6" hidden="1" customWidth="1"/>
    <col min="29" max="30" width="17.88671875" style="6" hidden="1" customWidth="1"/>
    <col min="31" max="31" width="15" style="6" hidden="1" customWidth="1"/>
    <col min="32" max="16384" width="10" style="6" hidden="1"/>
  </cols>
  <sheetData>
    <row r="1" spans="1:31" s="7" customFormat="1" ht="25.2">
      <c r="C1" s="30" t="s">
        <v>678</v>
      </c>
      <c r="D1" s="9"/>
      <c r="E1" s="9"/>
      <c r="F1" s="9"/>
      <c r="G1" s="8"/>
      <c r="H1" s="8"/>
      <c r="I1" s="8"/>
      <c r="J1" s="8"/>
      <c r="M1" s="6"/>
    </row>
    <row r="2" spans="1:31" s="10" customFormat="1" ht="15" customHeight="1">
      <c r="A2" s="926" t="s">
        <v>118</v>
      </c>
      <c r="B2" s="928" t="s">
        <v>255</v>
      </c>
      <c r="C2" s="866" t="s">
        <v>589</v>
      </c>
      <c r="D2" s="496" t="s">
        <v>590</v>
      </c>
      <c r="E2" s="497"/>
      <c r="F2" s="497"/>
      <c r="G2" s="497"/>
      <c r="H2" s="497"/>
      <c r="I2" s="497"/>
      <c r="J2" s="497"/>
      <c r="K2" s="498"/>
      <c r="L2" s="498"/>
      <c r="M2" s="6"/>
      <c r="O2" s="868" t="s">
        <v>591</v>
      </c>
      <c r="P2" s="868"/>
      <c r="Q2" s="868"/>
      <c r="R2" s="868"/>
    </row>
    <row r="3" spans="1:31" s="127" customFormat="1" ht="45" customHeight="1">
      <c r="A3" s="927"/>
      <c r="B3" s="929"/>
      <c r="C3" s="866"/>
      <c r="D3" s="424" t="s">
        <v>592</v>
      </c>
      <c r="E3" s="424" t="s">
        <v>593</v>
      </c>
      <c r="F3" s="425" t="s">
        <v>99</v>
      </c>
      <c r="G3" s="425" t="s">
        <v>221</v>
      </c>
      <c r="H3" s="424" t="s">
        <v>594</v>
      </c>
      <c r="I3" s="425" t="s">
        <v>679</v>
      </c>
      <c r="J3" s="425" t="s">
        <v>680</v>
      </c>
      <c r="K3" s="425" t="s">
        <v>681</v>
      </c>
      <c r="L3" s="425" t="s">
        <v>682</v>
      </c>
      <c r="M3" s="6"/>
      <c r="O3" s="423" t="s">
        <v>599</v>
      </c>
      <c r="P3" s="423" t="s">
        <v>600</v>
      </c>
      <c r="Q3" s="423" t="s">
        <v>6</v>
      </c>
      <c r="R3" s="423" t="s">
        <v>601</v>
      </c>
    </row>
    <row r="4" spans="1:31" s="127" customFormat="1">
      <c r="A4" s="428"/>
      <c r="B4" s="428"/>
      <c r="C4" s="427" t="s">
        <v>602</v>
      </c>
      <c r="D4" s="428"/>
      <c r="E4" s="428"/>
      <c r="F4" s="428" t="s">
        <v>683</v>
      </c>
      <c r="G4" s="428" t="s">
        <v>684</v>
      </c>
      <c r="H4" s="428">
        <v>1</v>
      </c>
      <c r="I4" s="428">
        <v>1</v>
      </c>
      <c r="J4" s="428">
        <v>16.760000000000002</v>
      </c>
      <c r="K4" s="428">
        <v>4.3</v>
      </c>
      <c r="L4" s="428">
        <v>365</v>
      </c>
      <c r="M4" s="6"/>
      <c r="O4" s="439">
        <v>0.03</v>
      </c>
      <c r="P4" s="439">
        <v>295</v>
      </c>
      <c r="Q4" s="439">
        <v>0</v>
      </c>
      <c r="R4" s="462">
        <v>200</v>
      </c>
    </row>
    <row r="5" spans="1:31" s="10" customFormat="1" ht="12.75" customHeight="1">
      <c r="A5" s="428" t="str">
        <f>IF(Summary!$C$7="","",Summary!$C$7)</f>
        <v/>
      </c>
      <c r="B5" s="428">
        <f>IFERROR(IF(ISNUMBER(MATCH(Summary!$C$8,Lookups!$B$143:$B$196,0)),"Wilmington, DE",IF(ISNUMBER(MATCH(Summary!$C$8,Lookups!$C$143:$C$187,0)),"Dover, DE",0)),"")</f>
        <v>0</v>
      </c>
      <c r="C5" s="428">
        <v>1</v>
      </c>
      <c r="D5" s="433"/>
      <c r="E5" s="433"/>
      <c r="F5" s="869" t="s">
        <v>683</v>
      </c>
      <c r="G5" s="428" t="s">
        <v>684</v>
      </c>
      <c r="H5" s="435"/>
      <c r="I5" s="461"/>
      <c r="J5" s="461"/>
      <c r="K5" s="499"/>
      <c r="L5" s="461"/>
      <c r="M5" s="6"/>
      <c r="O5" s="439" t="str">
        <f>Z44</f>
        <v/>
      </c>
      <c r="P5" s="439">
        <f>Y44</f>
        <v>0</v>
      </c>
      <c r="Q5" s="439">
        <v>0</v>
      </c>
      <c r="R5" s="462" t="str">
        <f>AA44</f>
        <v/>
      </c>
    </row>
    <row r="6" spans="1:31" s="10" customFormat="1">
      <c r="A6" s="428" t="str">
        <f>IF(Summary!$C$7="","",Summary!$C$7)</f>
        <v/>
      </c>
      <c r="B6" s="428">
        <f>IFERROR(IF(ISNUMBER(MATCH(Summary!$C$8,Lookups!$B$143:$B$196,0)),"Wilmington, DE",IF(ISNUMBER(MATCH(Summary!$C$8,Lookups!$C$143:$C$187,0)),"Dover, DE",0)),"")</f>
        <v>0</v>
      </c>
      <c r="C6" s="428">
        <v>2</v>
      </c>
      <c r="D6" s="433"/>
      <c r="E6" s="433"/>
      <c r="F6" s="871"/>
      <c r="G6" s="428" t="s">
        <v>685</v>
      </c>
      <c r="H6" s="435"/>
      <c r="I6" s="461"/>
      <c r="J6" s="461"/>
      <c r="K6" s="500"/>
      <c r="L6" s="461"/>
      <c r="M6" s="6"/>
      <c r="O6" s="439" t="str">
        <f>Z45</f>
        <v/>
      </c>
      <c r="P6" s="439">
        <f>Y45</f>
        <v>0</v>
      </c>
      <c r="Q6" s="439">
        <v>0</v>
      </c>
      <c r="R6" s="462" t="str">
        <f>AA45</f>
        <v/>
      </c>
    </row>
    <row r="7" spans="1:31" s="10" customFormat="1">
      <c r="A7" s="428" t="str">
        <f>IF(Summary!$C$7="","",Summary!$C$7)</f>
        <v/>
      </c>
      <c r="B7" s="428">
        <f>IFERROR(IF(ISNUMBER(MATCH(Summary!$C$8,Lookups!$B$143:$B$196,0)),"Wilmington, DE",IF(ISNUMBER(MATCH(Summary!$C$8,Lookups!$C$143:$C$187,0)),"Dover, DE",0)),"")</f>
        <v>0</v>
      </c>
      <c r="C7" s="428">
        <v>3</v>
      </c>
      <c r="D7" s="433"/>
      <c r="E7" s="433"/>
      <c r="F7" s="869" t="s">
        <v>686</v>
      </c>
      <c r="G7" s="428" t="s">
        <v>684</v>
      </c>
      <c r="H7" s="435"/>
      <c r="I7" s="461"/>
      <c r="J7" s="461"/>
      <c r="K7" s="500"/>
      <c r="L7" s="461"/>
      <c r="M7" s="6"/>
      <c r="O7" s="439" t="str">
        <f>Z47</f>
        <v/>
      </c>
      <c r="P7" s="439">
        <f>Y47</f>
        <v>0</v>
      </c>
      <c r="Q7" s="439">
        <v>0</v>
      </c>
      <c r="R7" s="462" t="str">
        <f>AA47</f>
        <v/>
      </c>
    </row>
    <row r="8" spans="1:31" s="10" customFormat="1" ht="13.2">
      <c r="A8" s="428" t="str">
        <f>IF(Summary!$C$7="","",Summary!$C$7)</f>
        <v/>
      </c>
      <c r="B8" s="428">
        <f>IFERROR(IF(ISNUMBER(MATCH(Summary!$C$8,Lookups!$B$143:$B$196,0)),"Wilmington, DE",IF(ISNUMBER(MATCH(Summary!$C$8,Lookups!$C$143:$C$187,0)),"Dover, DE",0)),"")</f>
        <v>0</v>
      </c>
      <c r="C8" s="428">
        <v>4</v>
      </c>
      <c r="D8" s="433"/>
      <c r="E8" s="433"/>
      <c r="F8" s="871"/>
      <c r="G8" s="428" t="s">
        <v>685</v>
      </c>
      <c r="H8" s="435"/>
      <c r="I8" s="461"/>
      <c r="J8" s="461"/>
      <c r="K8" s="500"/>
      <c r="L8" s="461"/>
      <c r="O8" s="439" t="str">
        <f>Z48</f>
        <v/>
      </c>
      <c r="P8" s="439">
        <f>Y48</f>
        <v>0</v>
      </c>
      <c r="Q8" s="439">
        <v>0</v>
      </c>
      <c r="R8" s="462" t="str">
        <f>AA48</f>
        <v/>
      </c>
    </row>
    <row r="9" spans="1:31" s="10" customFormat="1">
      <c r="C9" s="124" t="s">
        <v>687</v>
      </c>
      <c r="D9" s="129"/>
      <c r="E9" s="129"/>
      <c r="F9" s="129"/>
      <c r="G9" s="129"/>
      <c r="I9" s="129"/>
      <c r="J9" s="129"/>
      <c r="K9" s="129"/>
      <c r="L9" s="129"/>
      <c r="M9" s="6"/>
    </row>
    <row r="10" spans="1:31" s="10" customFormat="1">
      <c r="C10" s="131"/>
      <c r="D10" s="129"/>
      <c r="E10" s="129"/>
      <c r="F10" s="129"/>
      <c r="G10" s="129"/>
      <c r="H10" s="129"/>
      <c r="I10" s="129"/>
      <c r="J10" s="129"/>
      <c r="M10" s="6"/>
    </row>
    <row r="13" spans="1:31">
      <c r="U13" s="217"/>
      <c r="V13" s="217"/>
      <c r="W13" s="217"/>
      <c r="X13" s="217"/>
      <c r="Y13" s="217"/>
      <c r="Z13" s="217"/>
      <c r="AA13" s="217"/>
      <c r="AB13" s="217"/>
      <c r="AC13" s="217"/>
      <c r="AD13" s="217"/>
      <c r="AE13" s="217"/>
    </row>
    <row r="14" spans="1:31" ht="14.4">
      <c r="U14" s="143" t="s">
        <v>647</v>
      </c>
      <c r="V14" s="150"/>
      <c r="W14" s="218"/>
      <c r="X14" s="199"/>
      <c r="Y14" s="199"/>
      <c r="Z14" s="199"/>
      <c r="AA14" s="200"/>
      <c r="AB14" s="201"/>
      <c r="AC14" s="218"/>
      <c r="AD14" s="218"/>
      <c r="AE14" s="218"/>
    </row>
    <row r="15" spans="1:31">
      <c r="U15" s="143"/>
      <c r="V15" s="914"/>
      <c r="W15" s="937" t="s">
        <v>609</v>
      </c>
      <c r="X15" s="938"/>
      <c r="Y15" s="938"/>
      <c r="Z15" s="939"/>
      <c r="AA15" s="937" t="s">
        <v>610</v>
      </c>
      <c r="AB15" s="938"/>
      <c r="AC15" s="938"/>
      <c r="AD15" s="939"/>
      <c r="AE15" s="914"/>
    </row>
    <row r="16" spans="1:31">
      <c r="U16" s="143"/>
      <c r="V16" s="915"/>
      <c r="W16" s="917" t="s">
        <v>683</v>
      </c>
      <c r="X16" s="918"/>
      <c r="Y16" s="917" t="s">
        <v>686</v>
      </c>
      <c r="Z16" s="918"/>
      <c r="AA16" s="917" t="s">
        <v>683</v>
      </c>
      <c r="AB16" s="918"/>
      <c r="AC16" s="917" t="s">
        <v>686</v>
      </c>
      <c r="AD16" s="918"/>
      <c r="AE16" s="915"/>
    </row>
    <row r="17" spans="4:31">
      <c r="U17" s="202"/>
      <c r="V17" s="916"/>
      <c r="W17" s="505" t="s">
        <v>688</v>
      </c>
      <c r="X17" s="505" t="s">
        <v>689</v>
      </c>
      <c r="Y17" s="505" t="s">
        <v>688</v>
      </c>
      <c r="Z17" s="505" t="s">
        <v>689</v>
      </c>
      <c r="AA17" s="505" t="s">
        <v>688</v>
      </c>
      <c r="AB17" s="505" t="s">
        <v>689</v>
      </c>
      <c r="AC17" s="505" t="s">
        <v>688</v>
      </c>
      <c r="AD17" s="505" t="s">
        <v>689</v>
      </c>
      <c r="AE17" s="916"/>
    </row>
    <row r="18" spans="4:31" ht="16.8">
      <c r="U18" s="203"/>
      <c r="V18" s="204" t="s">
        <v>594</v>
      </c>
      <c r="W18" s="506">
        <v>1</v>
      </c>
      <c r="X18" s="506">
        <v>1</v>
      </c>
      <c r="Y18" s="506">
        <v>1</v>
      </c>
      <c r="Z18" s="506">
        <v>1</v>
      </c>
      <c r="AA18" s="507">
        <f>H5</f>
        <v>0</v>
      </c>
      <c r="AB18" s="507">
        <f>H6</f>
        <v>0</v>
      </c>
      <c r="AC18" s="508">
        <f>H7</f>
        <v>0</v>
      </c>
      <c r="AD18" s="508">
        <f>H8</f>
        <v>0</v>
      </c>
      <c r="AE18" s="219"/>
    </row>
    <row r="19" spans="4:31" ht="16.8">
      <c r="D19" s="11"/>
      <c r="E19" s="11"/>
      <c r="F19" s="11"/>
      <c r="G19" s="11"/>
      <c r="H19" s="11"/>
      <c r="I19" s="11"/>
      <c r="J19" s="11"/>
      <c r="K19" s="11"/>
      <c r="L19" s="11"/>
      <c r="U19" s="203"/>
      <c r="V19" s="474" t="s">
        <v>690</v>
      </c>
      <c r="W19" s="509">
        <v>30</v>
      </c>
      <c r="X19" s="463">
        <v>35</v>
      </c>
      <c r="Y19" s="509">
        <v>20</v>
      </c>
      <c r="Z19" s="509">
        <v>20</v>
      </c>
      <c r="AA19" s="509">
        <f>J5</f>
        <v>0</v>
      </c>
      <c r="AB19" s="509">
        <f>J6</f>
        <v>0</v>
      </c>
      <c r="AC19" s="509">
        <f>J7</f>
        <v>0</v>
      </c>
      <c r="AD19" s="509">
        <f>J8</f>
        <v>0</v>
      </c>
      <c r="AE19" s="447" t="s">
        <v>691</v>
      </c>
    </row>
    <row r="20" spans="4:31" ht="16.8">
      <c r="D20" s="11"/>
      <c r="E20" s="11"/>
      <c r="F20" s="11"/>
      <c r="G20" s="11"/>
      <c r="H20" s="11"/>
      <c r="I20" s="11"/>
      <c r="J20" s="11"/>
      <c r="K20" s="11"/>
      <c r="L20" s="11"/>
      <c r="U20" s="203"/>
      <c r="V20" s="474" t="s">
        <v>692</v>
      </c>
      <c r="W20" s="509">
        <v>1</v>
      </c>
      <c r="X20" s="463">
        <v>1</v>
      </c>
      <c r="Y20" s="509">
        <v>1</v>
      </c>
      <c r="Z20" s="509">
        <v>1</v>
      </c>
      <c r="AA20" s="509">
        <f>I5</f>
        <v>0</v>
      </c>
      <c r="AB20" s="509">
        <f>I6</f>
        <v>0</v>
      </c>
      <c r="AC20" s="509">
        <f>I7</f>
        <v>0</v>
      </c>
      <c r="AD20" s="509">
        <f>I8</f>
        <v>0</v>
      </c>
      <c r="AE20" s="510"/>
    </row>
    <row r="21" spans="4:31" ht="16.8">
      <c r="D21" s="11"/>
      <c r="E21" s="11"/>
      <c r="F21" s="11"/>
      <c r="G21" s="11"/>
      <c r="H21" s="11"/>
      <c r="I21" s="11"/>
      <c r="J21" s="11"/>
      <c r="K21" s="11"/>
      <c r="L21" s="11"/>
      <c r="U21" s="203"/>
      <c r="V21" s="511" t="s">
        <v>693</v>
      </c>
      <c r="W21" s="934"/>
      <c r="X21" s="935"/>
      <c r="Y21" s="935"/>
      <c r="Z21" s="935"/>
      <c r="AA21" s="935"/>
      <c r="AB21" s="935"/>
      <c r="AC21" s="935"/>
      <c r="AD21" s="936"/>
      <c r="AE21" s="919" t="s">
        <v>694</v>
      </c>
    </row>
    <row r="22" spans="4:31" ht="16.8">
      <c r="D22" s="11"/>
      <c r="E22" s="11"/>
      <c r="F22" s="11"/>
      <c r="G22" s="11"/>
      <c r="H22" s="11"/>
      <c r="I22" s="11"/>
      <c r="J22" s="11"/>
      <c r="K22" s="11"/>
      <c r="L22" s="11"/>
      <c r="U22" s="203"/>
      <c r="V22" s="489" t="s">
        <v>695</v>
      </c>
      <c r="W22" s="512">
        <f>0.021*AA19+0.9</f>
        <v>0.9</v>
      </c>
      <c r="X22" s="921">
        <f>0.232*AB19+2.36</f>
        <v>2.36</v>
      </c>
      <c r="Y22" s="921">
        <f>0.057*AC19+0.55</f>
        <v>0.55000000000000004</v>
      </c>
      <c r="Z22" s="921">
        <f>0.057*AD19+0.55</f>
        <v>0.55000000000000004</v>
      </c>
      <c r="AA22" s="924"/>
      <c r="AB22" s="924"/>
      <c r="AC22" s="924"/>
      <c r="AD22" s="924"/>
      <c r="AE22" s="920"/>
    </row>
    <row r="23" spans="4:31" ht="16.8">
      <c r="U23" s="203"/>
      <c r="V23" s="489" t="s">
        <v>696</v>
      </c>
      <c r="W23" s="512">
        <f>0.12*AA19+2.248</f>
        <v>2.2480000000000002</v>
      </c>
      <c r="X23" s="922"/>
      <c r="Y23" s="922"/>
      <c r="Z23" s="922"/>
      <c r="AA23" s="925"/>
      <c r="AB23" s="925"/>
      <c r="AC23" s="925"/>
      <c r="AD23" s="925"/>
      <c r="AE23" s="920"/>
    </row>
    <row r="24" spans="4:31" ht="16.8">
      <c r="U24" s="203"/>
      <c r="V24" s="489" t="s">
        <v>697</v>
      </c>
      <c r="W24" s="512">
        <f>0.285*AA19-2.703</f>
        <v>-2.7029999999999998</v>
      </c>
      <c r="X24" s="922"/>
      <c r="Y24" s="922"/>
      <c r="Z24" s="922"/>
      <c r="AA24" s="925"/>
      <c r="AB24" s="925"/>
      <c r="AC24" s="925"/>
      <c r="AD24" s="925"/>
      <c r="AE24" s="920"/>
    </row>
    <row r="25" spans="4:31" ht="16.8">
      <c r="U25" s="203"/>
      <c r="V25" s="489" t="s">
        <v>698</v>
      </c>
      <c r="W25" s="512">
        <f>0.142*AA19+4.445</f>
        <v>4.4450000000000003</v>
      </c>
      <c r="X25" s="923"/>
      <c r="Y25" s="923"/>
      <c r="Z25" s="923"/>
      <c r="AA25" s="925"/>
      <c r="AB25" s="925"/>
      <c r="AC25" s="925"/>
      <c r="AD25" s="925"/>
      <c r="AE25" s="920"/>
    </row>
    <row r="26" spans="4:31" ht="16.8">
      <c r="U26" s="203"/>
      <c r="V26" s="489" t="s">
        <v>699</v>
      </c>
      <c r="W26" s="512">
        <f>IF(AA19&lt;15,W22,IF(AA19&lt;30,W23,IF(AA19&lt;50,W24,W25)))</f>
        <v>0.9</v>
      </c>
      <c r="X26" s="512">
        <f>X22</f>
        <v>2.36</v>
      </c>
      <c r="Y26" s="512">
        <f>Y22</f>
        <v>0.55000000000000004</v>
      </c>
      <c r="Z26" s="512">
        <f>Z22</f>
        <v>0.55000000000000004</v>
      </c>
      <c r="AA26" s="512">
        <f>K5</f>
        <v>0</v>
      </c>
      <c r="AB26" s="512">
        <f>K6</f>
        <v>0</v>
      </c>
      <c r="AC26" s="512">
        <f>K7</f>
        <v>0</v>
      </c>
      <c r="AD26" s="512">
        <f>K8</f>
        <v>0</v>
      </c>
      <c r="AE26" s="916"/>
    </row>
    <row r="27" spans="4:31" ht="16.8">
      <c r="U27" s="203"/>
    </row>
    <row r="28" spans="4:31" ht="16.8">
      <c r="U28" s="203"/>
    </row>
    <row r="29" spans="4:31" ht="16.8">
      <c r="U29" s="203"/>
    </row>
    <row r="30" spans="4:31" ht="16.8">
      <c r="U30" s="203"/>
    </row>
    <row r="31" spans="4:31" ht="16.8">
      <c r="U31" s="203"/>
    </row>
    <row r="32" spans="4:31" ht="14.25" customHeight="1">
      <c r="U32" s="206"/>
    </row>
    <row r="33" spans="21:31" ht="14.4">
      <c r="U33" s="143" t="s">
        <v>618</v>
      </c>
      <c r="V33" s="150"/>
      <c r="W33" s="206"/>
      <c r="X33" s="206"/>
      <c r="Y33" s="206"/>
      <c r="Z33" s="206"/>
      <c r="AA33" s="207"/>
      <c r="AB33" s="208"/>
      <c r="AC33" s="209"/>
      <c r="AD33" s="209"/>
      <c r="AE33" s="208"/>
    </row>
    <row r="34" spans="21:31">
      <c r="U34" s="143"/>
      <c r="V34" s="150"/>
      <c r="W34" s="933" t="s">
        <v>683</v>
      </c>
      <c r="X34" s="933"/>
      <c r="Y34" s="917" t="s">
        <v>686</v>
      </c>
      <c r="Z34" s="918"/>
      <c r="AA34" s="207"/>
      <c r="AB34" s="208"/>
      <c r="AC34" s="209"/>
      <c r="AD34" s="209"/>
      <c r="AE34" s="208"/>
    </row>
    <row r="35" spans="21:31" ht="16.8">
      <c r="U35" s="203"/>
      <c r="V35" s="443"/>
      <c r="W35" s="505" t="s">
        <v>688</v>
      </c>
      <c r="X35" s="505" t="s">
        <v>689</v>
      </c>
      <c r="Y35" s="505" t="s">
        <v>688</v>
      </c>
      <c r="Z35" s="505" t="s">
        <v>689</v>
      </c>
      <c r="AA35" s="513"/>
      <c r="AB35" s="208"/>
      <c r="AC35" s="209"/>
      <c r="AD35" s="209"/>
      <c r="AE35" s="208"/>
    </row>
    <row r="36" spans="21:31" ht="16.8">
      <c r="U36" s="203"/>
      <c r="V36" s="474" t="s">
        <v>616</v>
      </c>
      <c r="W36" s="487">
        <f>L5</f>
        <v>0</v>
      </c>
      <c r="X36" s="487">
        <f>L6</f>
        <v>0</v>
      </c>
      <c r="Y36" s="487">
        <f>L7</f>
        <v>0</v>
      </c>
      <c r="Z36" s="487">
        <f>L8</f>
        <v>0</v>
      </c>
      <c r="AA36" s="514" t="s">
        <v>617</v>
      </c>
      <c r="AB36" s="206"/>
      <c r="AC36" s="220"/>
      <c r="AD36" s="220"/>
      <c r="AE36" s="212"/>
    </row>
    <row r="37" spans="21:31" ht="16.8">
      <c r="U37" s="203"/>
      <c r="V37" s="474" t="s">
        <v>700</v>
      </c>
      <c r="W37" s="484">
        <f>0.22*AA19+1.38</f>
        <v>1.38</v>
      </c>
      <c r="X37" s="484">
        <f>0.29*AB19+2.95</f>
        <v>2.95</v>
      </c>
      <c r="Y37" s="484">
        <f>0.06*AC19+1.12</f>
        <v>1.1200000000000001</v>
      </c>
      <c r="Z37" s="484">
        <f>0.08*AD19+1.23</f>
        <v>1.23</v>
      </c>
      <c r="AA37" s="514" t="s">
        <v>694</v>
      </c>
      <c r="AB37" s="173"/>
      <c r="AC37" s="206"/>
      <c r="AD37" s="206"/>
      <c r="AE37" s="212"/>
    </row>
    <row r="38" spans="21:31" ht="14.4">
      <c r="U38" s="206"/>
      <c r="V38" s="474" t="s">
        <v>624</v>
      </c>
      <c r="W38" s="515">
        <v>12</v>
      </c>
      <c r="X38" s="515">
        <v>12</v>
      </c>
      <c r="Y38" s="515">
        <v>12</v>
      </c>
      <c r="Z38" s="515">
        <v>12</v>
      </c>
      <c r="AA38" s="514" t="s">
        <v>701</v>
      </c>
      <c r="AB38" s="173"/>
      <c r="AC38" s="206"/>
      <c r="AD38" s="206"/>
      <c r="AE38" s="212"/>
    </row>
    <row r="39" spans="21:31" ht="14.4">
      <c r="U39" s="206"/>
      <c r="V39" s="202"/>
      <c r="W39" s="221"/>
      <c r="X39" s="221"/>
      <c r="Y39" s="221"/>
      <c r="Z39" s="221"/>
      <c r="AA39" s="218"/>
      <c r="AB39" s="173"/>
      <c r="AC39" s="206"/>
      <c r="AD39" s="206"/>
      <c r="AE39" s="212"/>
    </row>
    <row r="40" spans="21:31">
      <c r="U40" s="143" t="s">
        <v>702</v>
      </c>
      <c r="V40" s="150"/>
      <c r="W40" s="213"/>
      <c r="X40" s="193"/>
      <c r="Y40" s="150"/>
      <c r="Z40" s="150"/>
      <c r="AA40" s="206"/>
      <c r="AB40" s="206"/>
      <c r="AC40" s="206"/>
      <c r="AD40" s="206"/>
      <c r="AE40" s="206"/>
    </row>
    <row r="41" spans="21:31">
      <c r="U41" s="143"/>
      <c r="V41" s="150"/>
      <c r="W41" s="213"/>
      <c r="X41" s="193"/>
      <c r="Y41" s="878" t="s">
        <v>2</v>
      </c>
      <c r="Z41" s="930"/>
      <c r="AA41" s="931" t="s">
        <v>628</v>
      </c>
      <c r="AB41" s="206"/>
      <c r="AC41" s="206"/>
      <c r="AD41" s="206"/>
      <c r="AE41" s="206"/>
    </row>
    <row r="42" spans="21:31" ht="15" customHeight="1">
      <c r="U42" s="214"/>
      <c r="V42" s="517"/>
      <c r="W42" s="451" t="s">
        <v>625</v>
      </c>
      <c r="X42" s="451" t="s">
        <v>626</v>
      </c>
      <c r="Y42" s="451" t="s">
        <v>5</v>
      </c>
      <c r="Z42" s="451" t="s">
        <v>4</v>
      </c>
      <c r="AA42" s="932"/>
      <c r="AB42" s="149"/>
      <c r="AC42" s="149"/>
      <c r="AD42" s="149"/>
      <c r="AE42" s="214"/>
    </row>
    <row r="43" spans="21:31">
      <c r="U43" s="215"/>
      <c r="V43" s="518" t="s">
        <v>683</v>
      </c>
      <c r="W43" s="519"/>
      <c r="X43" s="519"/>
      <c r="Y43" s="519"/>
      <c r="Z43" s="520"/>
      <c r="AA43" s="521"/>
      <c r="AB43" s="149"/>
      <c r="AC43" s="149"/>
      <c r="AD43" s="149"/>
      <c r="AE43" s="214"/>
    </row>
    <row r="44" spans="21:31" ht="14.4">
      <c r="U44" s="215"/>
      <c r="V44" s="522" t="s">
        <v>688</v>
      </c>
      <c r="W44" s="467">
        <f>H5*W37*W36</f>
        <v>0</v>
      </c>
      <c r="X44" s="467">
        <f>H5*AA26*W36</f>
        <v>0</v>
      </c>
      <c r="Y44" s="467">
        <f>W44-X44</f>
        <v>0</v>
      </c>
      <c r="Z44" s="523" t="str">
        <f>IFERROR((Y44/(W36*24))*0.77,"")</f>
        <v/>
      </c>
      <c r="AA44" s="524" t="str">
        <f>IF(A5="","",H5*200)</f>
        <v/>
      </c>
      <c r="AB44" s="149"/>
      <c r="AC44" s="149"/>
      <c r="AD44" s="149"/>
      <c r="AE44" s="214"/>
    </row>
    <row r="45" spans="21:31" ht="14.4">
      <c r="U45" s="215"/>
      <c r="V45" s="522" t="s">
        <v>689</v>
      </c>
      <c r="W45" s="467">
        <f>H6*X37*X36</f>
        <v>0</v>
      </c>
      <c r="X45" s="467">
        <f>H5*AB26*X36</f>
        <v>0</v>
      </c>
      <c r="Y45" s="467">
        <f>W45-X45</f>
        <v>0</v>
      </c>
      <c r="Z45" s="523" t="str">
        <f>IFERROR((Y45/(X36*24))*0.77,"")</f>
        <v/>
      </c>
      <c r="AA45" s="524" t="str">
        <f>IF(A6="","",H6*200)</f>
        <v/>
      </c>
      <c r="AB45" s="149"/>
      <c r="AC45" s="149"/>
      <c r="AD45" s="149"/>
      <c r="AE45" s="214"/>
    </row>
    <row r="46" spans="21:31" ht="14.4">
      <c r="U46" s="215"/>
      <c r="V46" s="518" t="s">
        <v>703</v>
      </c>
      <c r="W46" s="519"/>
      <c r="X46" s="519"/>
      <c r="Y46" s="519"/>
      <c r="Z46" s="520"/>
      <c r="AA46" s="524"/>
      <c r="AB46" s="149"/>
      <c r="AC46" s="149"/>
      <c r="AD46" s="149"/>
      <c r="AE46" s="214"/>
    </row>
    <row r="47" spans="21:31" ht="14.4">
      <c r="U47" s="215"/>
      <c r="V47" s="522" t="s">
        <v>688</v>
      </c>
      <c r="W47" s="467">
        <f>H7*Y36*Y37</f>
        <v>0</v>
      </c>
      <c r="X47" s="467">
        <f>H7*Y36*AC26</f>
        <v>0</v>
      </c>
      <c r="Y47" s="467">
        <f>W47-X47</f>
        <v>0</v>
      </c>
      <c r="Z47" s="523" t="str">
        <f>IFERROR((Y47/(Y36*24))*0.77,"")</f>
        <v/>
      </c>
      <c r="AA47" s="524" t="str">
        <f t="shared" ref="AA47:AA48" si="0">IF(A8="","",H8*200)</f>
        <v/>
      </c>
      <c r="AB47" s="149"/>
      <c r="AC47" s="149"/>
      <c r="AD47" s="149"/>
      <c r="AE47" s="214"/>
    </row>
    <row r="48" spans="21:31" ht="14.4">
      <c r="U48" s="206"/>
      <c r="V48" s="522" t="s">
        <v>689</v>
      </c>
      <c r="W48" s="467">
        <f>H8*Z36*Z37</f>
        <v>0</v>
      </c>
      <c r="X48" s="467">
        <f>H8*Y36*AD26</f>
        <v>0</v>
      </c>
      <c r="Y48" s="467">
        <f>W48-X48</f>
        <v>0</v>
      </c>
      <c r="Z48" s="523" t="str">
        <f>IFERROR((Y48/(Z36*24))*0.77,"")</f>
        <v/>
      </c>
      <c r="AA48" s="524" t="str">
        <f t="shared" si="0"/>
        <v/>
      </c>
      <c r="AB48" s="149"/>
      <c r="AC48" s="149"/>
      <c r="AD48" s="149"/>
      <c r="AE48" s="214"/>
    </row>
    <row r="49" spans="21:31">
      <c r="U49" s="210"/>
      <c r="V49" s="216"/>
      <c r="W49" s="172"/>
      <c r="X49" s="172"/>
      <c r="Y49" s="172"/>
      <c r="Z49" s="149"/>
      <c r="AA49" s="214"/>
      <c r="AB49" s="149"/>
      <c r="AC49" s="149"/>
      <c r="AD49" s="149"/>
      <c r="AE49" s="214"/>
    </row>
  </sheetData>
  <sheetProtection algorithmName="SHA-512" hashValue="OD9CuYPgdoEWTK42u56DswgGJrHEiO3FSUT3CClo8cld5GQeehdje/xvTY4rt2Joxp04pKGtEzV6okZU4PXO9Q==" saltValue="3F/Ca/FjeQLA4dnrZLnNIA==" spinCount="100000" sheet="1" objects="1" scenarios="1"/>
  <protectedRanges>
    <protectedRange sqref="D5:E8 H5:L8" name="Range1"/>
  </protectedRanges>
  <mergeCells count="27">
    <mergeCell ref="A2:A3"/>
    <mergeCell ref="B2:B3"/>
    <mergeCell ref="Y41:Z41"/>
    <mergeCell ref="AA41:AA42"/>
    <mergeCell ref="W34:X34"/>
    <mergeCell ref="Y34:Z34"/>
    <mergeCell ref="F5:F6"/>
    <mergeCell ref="F7:F8"/>
    <mergeCell ref="W21:AD21"/>
    <mergeCell ref="V15:V17"/>
    <mergeCell ref="W15:Z15"/>
    <mergeCell ref="AA15:AD15"/>
    <mergeCell ref="C2:C3"/>
    <mergeCell ref="O2:R2"/>
    <mergeCell ref="AE21:AE26"/>
    <mergeCell ref="X22:X25"/>
    <mergeCell ref="Y22:Y25"/>
    <mergeCell ref="Z22:Z25"/>
    <mergeCell ref="AA22:AA25"/>
    <mergeCell ref="AB22:AB25"/>
    <mergeCell ref="AC22:AC25"/>
    <mergeCell ref="AD22:AD25"/>
    <mergeCell ref="AE15:AE17"/>
    <mergeCell ref="W16:X16"/>
    <mergeCell ref="Y16:Z16"/>
    <mergeCell ref="AA16:AB16"/>
    <mergeCell ref="AC16:AD16"/>
  </mergeCells>
  <dataValidations count="1">
    <dataValidation type="decimal" allowBlank="1" showInputMessage="1" showErrorMessage="1" sqref="D1:F1" xr:uid="{2D71181C-00A8-43F7-9F60-97D83A1F9E24}">
      <formula1>0</formula1>
      <formula2>999999999999999000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F2FD-F075-4FCB-B5DC-833E2EB1C71A}">
  <sheetPr codeName="Sheet5">
    <tabColor theme="4" tint="0.39997558519241921"/>
  </sheetPr>
  <dimension ref="A1:AI46"/>
  <sheetViews>
    <sheetView topLeftCell="C1" zoomScale="85" zoomScaleNormal="85" workbookViewId="0">
      <selection activeCell="C1" sqref="C1"/>
    </sheetView>
  </sheetViews>
  <sheetFormatPr defaultColWidth="0" defaultRowHeight="13.8"/>
  <cols>
    <col min="1" max="1" width="7.5546875" style="6" hidden="1" customWidth="1"/>
    <col min="2" max="2" width="8" style="6" hidden="1" customWidth="1"/>
    <col min="3" max="3" width="10.5546875" style="6" customWidth="1"/>
    <col min="4" max="4" width="11.44140625" style="6" customWidth="1"/>
    <col min="5" max="5" width="20.44140625" style="6" bestFit="1" customWidth="1"/>
    <col min="6" max="6" width="17.6640625" style="6" customWidth="1"/>
    <col min="7" max="7" width="14.88671875" style="6" customWidth="1"/>
    <col min="8" max="8" width="8" style="6" bestFit="1" customWidth="1"/>
    <col min="9" max="9" width="9.109375" style="6" bestFit="1" customWidth="1"/>
    <col min="10" max="10" width="12.6640625" style="6" bestFit="1" customWidth="1"/>
    <col min="11" max="11" width="13.109375" style="6" bestFit="1" customWidth="1"/>
    <col min="12" max="12" width="12.33203125" style="6" bestFit="1" customWidth="1"/>
    <col min="13" max="13" width="12.33203125" style="6" customWidth="1"/>
    <col min="14" max="14" width="10.109375" style="6" bestFit="1" customWidth="1"/>
    <col min="15" max="15" width="11.5546875" style="6" bestFit="1" customWidth="1"/>
    <col min="16" max="16" width="6.5546875" style="6" bestFit="1" customWidth="1"/>
    <col min="17" max="17" width="11.6640625" style="6" bestFit="1" customWidth="1"/>
    <col min="18" max="18" width="9" style="6" bestFit="1" customWidth="1"/>
    <col min="19" max="19" width="1.88671875" style="6" customWidth="1"/>
    <col min="20" max="24" width="10" style="6" customWidth="1"/>
    <col min="25" max="25" width="3" style="6" hidden="1" customWidth="1"/>
    <col min="26" max="28" width="15" style="6" hidden="1" customWidth="1"/>
    <col min="29" max="35" width="14.6640625" style="6" hidden="1" customWidth="1"/>
    <col min="36" max="16384" width="10" style="6" hidden="1"/>
  </cols>
  <sheetData>
    <row r="1" spans="1:35" s="7" customFormat="1" ht="25.2">
      <c r="C1" s="30" t="s">
        <v>704</v>
      </c>
      <c r="D1" s="30"/>
      <c r="E1" s="9"/>
      <c r="F1" s="9"/>
      <c r="G1" s="9"/>
      <c r="H1" s="8"/>
      <c r="I1" s="8"/>
      <c r="J1" s="8"/>
      <c r="K1" s="8"/>
      <c r="S1" s="6"/>
    </row>
    <row r="2" spans="1:35" s="10" customFormat="1" ht="15" customHeight="1">
      <c r="A2" s="926" t="s">
        <v>118</v>
      </c>
      <c r="B2" s="928" t="s">
        <v>255</v>
      </c>
      <c r="C2" s="866" t="s">
        <v>589</v>
      </c>
      <c r="D2" s="426"/>
      <c r="E2" s="496" t="s">
        <v>590</v>
      </c>
      <c r="F2" s="497"/>
      <c r="G2" s="497"/>
      <c r="H2" s="497"/>
      <c r="I2" s="497"/>
      <c r="J2" s="497"/>
      <c r="K2" s="497"/>
      <c r="L2" s="498"/>
      <c r="M2" s="498"/>
      <c r="N2" s="498"/>
      <c r="O2" s="498"/>
      <c r="P2" s="498"/>
      <c r="Q2" s="498"/>
      <c r="R2" s="498"/>
      <c r="S2" s="6"/>
      <c r="T2" s="868" t="s">
        <v>591</v>
      </c>
      <c r="U2" s="868"/>
      <c r="V2" s="868"/>
      <c r="W2" s="868"/>
    </row>
    <row r="3" spans="1:35" s="127" customFormat="1" ht="64.5" customHeight="1">
      <c r="A3" s="927"/>
      <c r="B3" s="929"/>
      <c r="C3" s="866"/>
      <c r="D3" s="424" t="s">
        <v>269</v>
      </c>
      <c r="E3" s="424" t="s">
        <v>592</v>
      </c>
      <c r="F3" s="424" t="s">
        <v>593</v>
      </c>
      <c r="G3" s="424" t="s">
        <v>292</v>
      </c>
      <c r="H3" s="424" t="s">
        <v>594</v>
      </c>
      <c r="I3" s="425" t="s">
        <v>705</v>
      </c>
      <c r="J3" s="425" t="s">
        <v>706</v>
      </c>
      <c r="K3" s="425" t="s">
        <v>650</v>
      </c>
      <c r="L3" s="425" t="s">
        <v>707</v>
      </c>
      <c r="M3" s="425" t="s">
        <v>708</v>
      </c>
      <c r="N3" s="425" t="s">
        <v>709</v>
      </c>
      <c r="O3" s="425" t="s">
        <v>710</v>
      </c>
      <c r="P3" s="425" t="s">
        <v>711</v>
      </c>
      <c r="Q3" s="425" t="s">
        <v>712</v>
      </c>
      <c r="R3" s="425" t="s">
        <v>713</v>
      </c>
      <c r="S3" s="6"/>
      <c r="T3" s="423" t="s">
        <v>599</v>
      </c>
      <c r="U3" s="423" t="s">
        <v>600</v>
      </c>
      <c r="V3" s="423" t="s">
        <v>6</v>
      </c>
      <c r="W3" s="423" t="s">
        <v>601</v>
      </c>
    </row>
    <row r="4" spans="1:35" s="127" customFormat="1">
      <c r="A4" s="428"/>
      <c r="B4" s="428"/>
      <c r="C4" s="427" t="s">
        <v>602</v>
      </c>
      <c r="D4" s="428" t="s">
        <v>370</v>
      </c>
      <c r="E4" s="428"/>
      <c r="F4" s="428"/>
      <c r="G4" s="428"/>
      <c r="H4" s="428">
        <v>1</v>
      </c>
      <c r="I4" s="428">
        <v>42</v>
      </c>
      <c r="J4" s="428">
        <v>52</v>
      </c>
      <c r="K4" s="428" t="s">
        <v>363</v>
      </c>
      <c r="L4" s="428" t="s">
        <v>363</v>
      </c>
      <c r="M4" s="428"/>
      <c r="N4" s="428">
        <v>3.64</v>
      </c>
      <c r="O4" s="428">
        <v>365</v>
      </c>
      <c r="P4" s="428">
        <v>4.0199999999999996</v>
      </c>
      <c r="Q4" s="428">
        <v>2.4300000000000002</v>
      </c>
      <c r="R4" s="428">
        <v>0.75</v>
      </c>
      <c r="S4" s="6"/>
      <c r="T4" s="439">
        <v>0.03</v>
      </c>
      <c r="U4" s="439">
        <v>295</v>
      </c>
      <c r="V4" s="439">
        <v>0</v>
      </c>
      <c r="W4" s="462">
        <v>200</v>
      </c>
    </row>
    <row r="5" spans="1:35" s="10" customFormat="1">
      <c r="A5" s="428">
        <f>Summary!$C$7</f>
        <v>0</v>
      </c>
      <c r="B5" s="428">
        <f>IFERROR(IF(ISNUMBER(MATCH(Summary!$C$8,Lookups!$B$143:$B$196,0)),"Wilmington, DE",IF(ISNUMBER(MATCH(Summary!$C$8,Lookups!$C$143:$C$187,0)),"Dover, DE",0)),"")</f>
        <v>0</v>
      </c>
      <c r="C5" s="428">
        <v>1</v>
      </c>
      <c r="D5" s="433"/>
      <c r="E5" s="433"/>
      <c r="F5" s="433"/>
      <c r="G5" s="433"/>
      <c r="H5" s="435"/>
      <c r="I5" s="461"/>
      <c r="J5" s="461"/>
      <c r="K5" s="436"/>
      <c r="L5" s="436"/>
      <c r="M5" s="438"/>
      <c r="N5" s="461"/>
      <c r="O5" s="461"/>
      <c r="P5" s="461"/>
      <c r="Q5" s="461"/>
      <c r="R5" s="438"/>
      <c r="S5" s="6"/>
      <c r="T5" s="439">
        <v>0</v>
      </c>
      <c r="U5" s="439">
        <f>AE42</f>
        <v>0</v>
      </c>
      <c r="V5" s="439">
        <f>AE44</f>
        <v>0</v>
      </c>
      <c r="W5" s="462">
        <f>AE46</f>
        <v>0</v>
      </c>
    </row>
    <row r="6" spans="1:35" s="10" customFormat="1" ht="14.4">
      <c r="C6" s="124" t="s">
        <v>714</v>
      </c>
      <c r="D6" s="130"/>
      <c r="E6" s="129"/>
      <c r="F6" s="129"/>
      <c r="G6" s="129"/>
      <c r="I6" s="129"/>
      <c r="J6" s="129"/>
      <c r="K6" s="129"/>
      <c r="L6" s="129"/>
      <c r="M6" s="129"/>
      <c r="N6" s="129"/>
      <c r="O6" s="129"/>
      <c r="Q6" s="129"/>
      <c r="S6" s="6"/>
      <c r="Y6" s="143" t="s">
        <v>647</v>
      </c>
      <c r="Z6" s="150"/>
      <c r="AA6" s="150"/>
      <c r="AB6" s="150"/>
      <c r="AC6" s="150"/>
      <c r="AD6" s="150"/>
      <c r="AE6" s="222"/>
      <c r="AF6" s="229"/>
      <c r="AG6" s="236"/>
      <c r="AH6" s="237"/>
      <c r="AI6" s="237"/>
    </row>
    <row r="7" spans="1:35" s="10" customFormat="1" ht="24" customHeight="1">
      <c r="C7" s="131"/>
      <c r="D7" s="129"/>
      <c r="E7" s="129"/>
      <c r="F7" s="129"/>
      <c r="G7" s="129"/>
      <c r="H7" s="129"/>
      <c r="I7" s="129"/>
      <c r="J7" s="129"/>
      <c r="K7" s="129"/>
      <c r="S7" s="6"/>
      <c r="Y7" s="202"/>
      <c r="Z7" s="947"/>
      <c r="AA7" s="948"/>
      <c r="AB7" s="949"/>
      <c r="AC7" s="525" t="s">
        <v>609</v>
      </c>
      <c r="AD7" s="525" t="s">
        <v>610</v>
      </c>
      <c r="AE7" s="214"/>
      <c r="AF7" s="229"/>
      <c r="AG7" s="238"/>
      <c r="AH7" s="223"/>
      <c r="AI7" s="237"/>
    </row>
    <row r="8" spans="1:35" ht="16.8">
      <c r="D8" s="950" t="s">
        <v>350</v>
      </c>
      <c r="E8" s="959" t="s">
        <v>715</v>
      </c>
      <c r="F8" s="526" t="s">
        <v>368</v>
      </c>
      <c r="G8" s="527">
        <f>3.4*365</f>
        <v>1241</v>
      </c>
      <c r="S8" s="10"/>
      <c r="Y8" s="203"/>
      <c r="Z8" s="940" t="s">
        <v>705</v>
      </c>
      <c r="AA8" s="941"/>
      <c r="AB8" s="942"/>
      <c r="AC8" s="509">
        <f>IFERROR(ROUND(IF($D$5="Multifamily",$AI$18/$AC$25,$AI$19/$AC$25),0),0)</f>
        <v>0</v>
      </c>
      <c r="AD8" s="509">
        <f>$I$5</f>
        <v>0</v>
      </c>
      <c r="AE8" s="224"/>
      <c r="AF8" s="229"/>
      <c r="AG8" s="206"/>
      <c r="AH8" s="206"/>
      <c r="AI8" s="206"/>
    </row>
    <row r="9" spans="1:35" ht="16.8">
      <c r="D9" s="951"/>
      <c r="E9" s="960"/>
      <c r="F9" s="526" t="s">
        <v>370</v>
      </c>
      <c r="G9" s="527">
        <f>6*365</f>
        <v>2190</v>
      </c>
      <c r="Y9" s="203"/>
      <c r="Z9" s="940" t="s">
        <v>650</v>
      </c>
      <c r="AA9" s="941"/>
      <c r="AB9" s="942"/>
      <c r="AC9" s="528" t="s">
        <v>10</v>
      </c>
      <c r="AD9" s="493">
        <f>$K$5</f>
        <v>0</v>
      </c>
      <c r="AE9" s="206"/>
      <c r="AF9" s="229"/>
      <c r="AG9" s="206"/>
      <c r="AH9" s="206"/>
      <c r="AI9" s="206"/>
    </row>
    <row r="10" spans="1:35" ht="16.8">
      <c r="Y10" s="203"/>
      <c r="Z10" s="940" t="s">
        <v>707</v>
      </c>
      <c r="AA10" s="941"/>
      <c r="AB10" s="942"/>
      <c r="AC10" s="528" t="s">
        <v>10</v>
      </c>
      <c r="AD10" s="529">
        <f>$L$5</f>
        <v>0</v>
      </c>
      <c r="AE10" s="206"/>
      <c r="AF10" s="229"/>
      <c r="AG10" s="206"/>
      <c r="AH10" s="206"/>
      <c r="AI10" s="206"/>
    </row>
    <row r="11" spans="1:35" ht="16.8">
      <c r="Y11" s="203"/>
      <c r="Z11" s="940" t="s">
        <v>716</v>
      </c>
      <c r="AA11" s="941"/>
      <c r="AB11" s="942"/>
      <c r="AC11" s="530">
        <v>3.64</v>
      </c>
      <c r="AD11" s="530">
        <f>$N$5</f>
        <v>0</v>
      </c>
      <c r="AE11" s="206"/>
      <c r="AF11" s="206"/>
      <c r="AG11" s="206"/>
      <c r="AH11" s="206"/>
      <c r="AI11" s="206"/>
    </row>
    <row r="12" spans="1:35" ht="16.8">
      <c r="Y12" s="203"/>
      <c r="Z12" s="940" t="s">
        <v>717</v>
      </c>
      <c r="AA12" s="941"/>
      <c r="AB12" s="942"/>
      <c r="AC12" s="530">
        <v>2.4300000000000002</v>
      </c>
      <c r="AD12" s="530">
        <f>$Q$5</f>
        <v>0</v>
      </c>
      <c r="AE12" s="206"/>
      <c r="AF12" s="239"/>
      <c r="AG12" s="206"/>
      <c r="AH12" s="206"/>
      <c r="AI12" s="206"/>
    </row>
    <row r="13" spans="1:35" ht="16.8">
      <c r="Y13" s="203"/>
      <c r="Z13" s="940" t="s">
        <v>718</v>
      </c>
      <c r="AA13" s="941"/>
      <c r="AB13" s="942"/>
      <c r="AC13" s="530">
        <v>4.0199999999999996</v>
      </c>
      <c r="AD13" s="530">
        <f>$P$5</f>
        <v>0</v>
      </c>
      <c r="AE13" s="206"/>
      <c r="AF13" s="240"/>
      <c r="AG13" s="206"/>
      <c r="AH13" s="206"/>
      <c r="AI13" s="206"/>
    </row>
    <row r="14" spans="1:35" ht="16.8">
      <c r="Y14" s="225"/>
      <c r="Z14" s="940"/>
      <c r="AA14" s="941"/>
      <c r="AB14" s="942"/>
      <c r="AC14" s="531"/>
      <c r="AD14" s="531"/>
      <c r="AE14" s="226"/>
      <c r="AF14" s="241"/>
      <c r="AG14" s="226"/>
      <c r="AH14" s="226"/>
      <c r="AI14" s="226"/>
    </row>
    <row r="15" spans="1:35" ht="14.4">
      <c r="Y15" s="143" t="s">
        <v>719</v>
      </c>
      <c r="Z15" s="150"/>
      <c r="AA15" s="150"/>
      <c r="AB15" s="150"/>
      <c r="AC15" s="150"/>
      <c r="AD15" s="206"/>
      <c r="AE15" s="206"/>
      <c r="AF15" s="242"/>
      <c r="AG15" s="206"/>
      <c r="AH15" s="206"/>
      <c r="AI15" s="206"/>
    </row>
    <row r="16" spans="1:35" ht="14.4">
      <c r="E16" s="11"/>
      <c r="F16" s="11"/>
      <c r="G16" s="11"/>
      <c r="H16" s="11"/>
      <c r="I16" s="11"/>
      <c r="J16" s="11"/>
      <c r="K16" s="11"/>
      <c r="L16" s="11"/>
      <c r="M16" s="11"/>
      <c r="N16" s="11"/>
      <c r="O16" s="11"/>
      <c r="Q16" s="11"/>
      <c r="Y16" s="227"/>
      <c r="Z16" s="945" t="s">
        <v>720</v>
      </c>
      <c r="AA16" s="945"/>
      <c r="AB16" s="946"/>
      <c r="AC16" s="532">
        <f>$O$5</f>
        <v>0</v>
      </c>
      <c r="AD16" s="533" t="s">
        <v>721</v>
      </c>
      <c r="AE16" s="228"/>
      <c r="AF16" s="950" t="s">
        <v>722</v>
      </c>
      <c r="AG16" s="952" t="s">
        <v>723</v>
      </c>
      <c r="AH16" s="953"/>
      <c r="AI16" s="527">
        <v>295</v>
      </c>
    </row>
    <row r="17" spans="5:35" ht="16.5" customHeight="1">
      <c r="E17" s="11"/>
      <c r="F17" s="11"/>
      <c r="G17" s="11"/>
      <c r="H17" s="11"/>
      <c r="I17" s="11"/>
      <c r="J17" s="11"/>
      <c r="K17" s="11"/>
      <c r="L17" s="11"/>
      <c r="M17" s="11"/>
      <c r="N17" s="11"/>
      <c r="O17" s="11"/>
      <c r="Q17" s="11"/>
      <c r="Y17" s="225"/>
      <c r="Z17" s="954" t="s">
        <v>724</v>
      </c>
      <c r="AA17" s="957" t="s">
        <v>725</v>
      </c>
      <c r="AB17" s="958"/>
      <c r="AC17" s="532">
        <v>470</v>
      </c>
      <c r="AD17" s="533" t="s">
        <v>721</v>
      </c>
      <c r="AE17" s="226"/>
      <c r="AF17" s="951"/>
      <c r="AG17" s="952" t="s">
        <v>726</v>
      </c>
      <c r="AH17" s="953"/>
      <c r="AI17" s="527">
        <v>392</v>
      </c>
    </row>
    <row r="18" spans="5:35" ht="16.5" customHeight="1">
      <c r="E18" s="11"/>
      <c r="F18" s="11"/>
      <c r="G18" s="11"/>
      <c r="H18" s="11"/>
      <c r="I18" s="11"/>
      <c r="J18" s="11"/>
      <c r="K18" s="11"/>
      <c r="L18" s="11"/>
      <c r="M18" s="11"/>
      <c r="N18" s="11"/>
      <c r="O18" s="11"/>
      <c r="Q18" s="11"/>
      <c r="Y18" s="225"/>
      <c r="Z18" s="955"/>
      <c r="AA18" s="957" t="s">
        <v>716</v>
      </c>
      <c r="AB18" s="958"/>
      <c r="AC18" s="534">
        <f>$AC$11</f>
        <v>3.64</v>
      </c>
      <c r="AD18" s="533" t="s">
        <v>691</v>
      </c>
      <c r="AE18" s="226"/>
      <c r="AF18" s="950" t="s">
        <v>350</v>
      </c>
      <c r="AG18" s="959" t="s">
        <v>715</v>
      </c>
      <c r="AH18" s="526" t="s">
        <v>368</v>
      </c>
      <c r="AI18" s="527">
        <f>3.4*365</f>
        <v>1241</v>
      </c>
    </row>
    <row r="19" spans="5:35" ht="16.8">
      <c r="E19" s="11"/>
      <c r="F19" s="11"/>
      <c r="G19" s="11"/>
      <c r="H19" s="11"/>
      <c r="I19" s="11"/>
      <c r="J19" s="11"/>
      <c r="K19" s="11"/>
      <c r="L19" s="11"/>
      <c r="M19" s="11"/>
      <c r="N19" s="11"/>
      <c r="O19" s="11"/>
      <c r="Q19" s="11"/>
      <c r="Y19" s="225"/>
      <c r="Z19" s="955"/>
      <c r="AA19" s="957" t="s">
        <v>727</v>
      </c>
      <c r="AB19" s="958"/>
      <c r="AC19" s="535">
        <f>$AC$8</f>
        <v>0</v>
      </c>
      <c r="AD19" s="533"/>
      <c r="AE19" s="226"/>
      <c r="AF19" s="951"/>
      <c r="AG19" s="960"/>
      <c r="AH19" s="526" t="s">
        <v>370</v>
      </c>
      <c r="AI19" s="527">
        <f>6*365</f>
        <v>2190</v>
      </c>
    </row>
    <row r="20" spans="5:35" ht="16.8">
      <c r="Y20" s="225"/>
      <c r="Z20" s="955"/>
      <c r="AA20" s="957" t="s">
        <v>717</v>
      </c>
      <c r="AB20" s="958"/>
      <c r="AC20" s="534">
        <v>1.26</v>
      </c>
      <c r="AD20" s="536"/>
      <c r="AE20" s="226"/>
      <c r="AF20" s="226"/>
      <c r="AG20" s="226"/>
      <c r="AH20" s="226"/>
      <c r="AI20" s="226"/>
    </row>
    <row r="21" spans="5:35" ht="16.8">
      <c r="Y21" s="225"/>
      <c r="Z21" s="956"/>
      <c r="AA21" s="957" t="s">
        <v>718</v>
      </c>
      <c r="AB21" s="958"/>
      <c r="AC21" s="534">
        <v>9.5</v>
      </c>
      <c r="AD21" s="536"/>
      <c r="AE21" s="226"/>
      <c r="AF21" s="226"/>
      <c r="AG21" s="226"/>
      <c r="AH21" s="226"/>
      <c r="AI21" s="226"/>
    </row>
    <row r="22" spans="5:35" ht="16.8">
      <c r="Y22" s="225"/>
      <c r="Z22" s="243"/>
      <c r="AA22" s="243"/>
      <c r="AB22" s="243"/>
      <c r="AC22" s="243"/>
      <c r="AD22" s="244"/>
      <c r="AE22" s="195"/>
      <c r="AF22" s="226"/>
      <c r="AG22" s="226"/>
      <c r="AH22" s="226"/>
      <c r="AI22" s="226"/>
    </row>
    <row r="23" spans="5:35" ht="16.8">
      <c r="Y23" s="225"/>
      <c r="Z23" s="945" t="s">
        <v>728</v>
      </c>
      <c r="AA23" s="945"/>
      <c r="AB23" s="946"/>
      <c r="AC23" s="537">
        <f>$M$5</f>
        <v>0</v>
      </c>
      <c r="AD23" s="536"/>
      <c r="AE23" s="195"/>
      <c r="AF23" s="226"/>
      <c r="AG23" s="226"/>
      <c r="AH23" s="226"/>
      <c r="AI23" s="226"/>
    </row>
    <row r="24" spans="5:35" ht="16.8">
      <c r="Y24" s="225"/>
      <c r="Z24" s="945" t="s">
        <v>729</v>
      </c>
      <c r="AA24" s="945"/>
      <c r="AB24" s="946"/>
      <c r="AC24" s="537">
        <f>IFERROR($R$5,"")</f>
        <v>0</v>
      </c>
      <c r="AD24" s="536"/>
      <c r="AE24" s="195"/>
      <c r="AF24" s="226"/>
      <c r="AG24" s="245"/>
      <c r="AH24" s="226"/>
      <c r="AI24" s="226"/>
    </row>
    <row r="25" spans="5:35" ht="16.8">
      <c r="Y25" s="225"/>
      <c r="Z25" s="945" t="s">
        <v>730</v>
      </c>
      <c r="AA25" s="945"/>
      <c r="AB25" s="946"/>
      <c r="AC25" s="538">
        <f>$J$5</f>
        <v>0</v>
      </c>
      <c r="AD25" s="536" t="s">
        <v>731</v>
      </c>
      <c r="AE25" s="195"/>
      <c r="AF25" s="226"/>
      <c r="AG25" s="245"/>
      <c r="AH25" s="226"/>
      <c r="AI25" s="226"/>
    </row>
    <row r="26" spans="5:35" ht="16.8">
      <c r="Y26" s="225"/>
      <c r="Z26" s="945" t="s">
        <v>624</v>
      </c>
      <c r="AA26" s="945"/>
      <c r="AB26" s="946"/>
      <c r="AC26" s="538">
        <v>11</v>
      </c>
      <c r="AD26" s="536" t="s">
        <v>701</v>
      </c>
      <c r="AE26" s="195"/>
      <c r="AF26" s="226"/>
      <c r="AG26" s="245"/>
      <c r="AH26" s="226"/>
      <c r="AI26" s="226"/>
    </row>
    <row r="27" spans="5:35" ht="16.8">
      <c r="Y27" s="225"/>
      <c r="Z27" s="888" t="s">
        <v>732</v>
      </c>
      <c r="AA27" s="888"/>
      <c r="AB27" s="844"/>
      <c r="AC27" s="539">
        <v>3.4119999999999998E-2</v>
      </c>
      <c r="AD27" s="536" t="s">
        <v>733</v>
      </c>
      <c r="AE27" s="195"/>
      <c r="AF27" s="226"/>
      <c r="AG27" s="245"/>
      <c r="AH27" s="226"/>
      <c r="AI27" s="226"/>
    </row>
    <row r="28" spans="5:35" ht="16.5" customHeight="1">
      <c r="Y28" s="225"/>
      <c r="Z28" s="961" t="s">
        <v>734</v>
      </c>
      <c r="AA28" s="962"/>
      <c r="AB28" s="441" t="s">
        <v>735</v>
      </c>
      <c r="AC28" s="540">
        <v>0.2</v>
      </c>
      <c r="AD28" s="536"/>
      <c r="AE28" s="195"/>
      <c r="AF28" s="226"/>
      <c r="AG28" s="245"/>
      <c r="AH28" s="226"/>
      <c r="AI28" s="226"/>
    </row>
    <row r="29" spans="5:35" ht="16.8">
      <c r="Y29" s="225"/>
      <c r="Z29" s="963"/>
      <c r="AA29" s="964"/>
      <c r="AB29" s="441" t="s">
        <v>736</v>
      </c>
      <c r="AC29" s="540">
        <v>0.8</v>
      </c>
      <c r="AD29" s="536"/>
      <c r="AE29" s="195"/>
      <c r="AF29" s="226"/>
      <c r="AG29" s="245"/>
      <c r="AH29" s="226"/>
      <c r="AI29" s="226"/>
    </row>
    <row r="30" spans="5:35" ht="14.4">
      <c r="Y30" s="143" t="s">
        <v>666</v>
      </c>
      <c r="Z30" s="150"/>
      <c r="AA30" s="150"/>
      <c r="AB30" s="150"/>
      <c r="AC30" s="176"/>
      <c r="AD30" s="193"/>
      <c r="AE30" s="150"/>
      <c r="AF30" s="226"/>
      <c r="AG30" s="229"/>
      <c r="AH30" s="246"/>
      <c r="AI30" s="246"/>
    </row>
    <row r="31" spans="5:35" ht="16.8">
      <c r="Y31" s="203"/>
      <c r="Z31" s="940"/>
      <c r="AA31" s="941"/>
      <c r="AB31" s="942"/>
      <c r="AC31" s="855" t="s">
        <v>625</v>
      </c>
      <c r="AD31" s="844"/>
      <c r="AE31" s="855" t="s">
        <v>626</v>
      </c>
      <c r="AF31" s="844"/>
      <c r="AG31" s="210"/>
      <c r="AH31" s="210"/>
      <c r="AI31" s="226"/>
    </row>
    <row r="32" spans="5:35" ht="16.8">
      <c r="Y32" s="203"/>
      <c r="Z32" s="940" t="s">
        <v>737</v>
      </c>
      <c r="AA32" s="941"/>
      <c r="AB32" s="942"/>
      <c r="AC32" s="943">
        <f>$AC$19*$AC$25</f>
        <v>0</v>
      </c>
      <c r="AD32" s="944"/>
      <c r="AE32" s="943">
        <f>$AD$8*$AC$25</f>
        <v>0</v>
      </c>
      <c r="AF32" s="944"/>
      <c r="AG32" s="210"/>
      <c r="AH32" s="210"/>
      <c r="AI32" s="226"/>
    </row>
    <row r="33" spans="25:35" ht="16.8">
      <c r="Y33" s="203"/>
      <c r="Z33" s="940" t="s">
        <v>738</v>
      </c>
      <c r="AA33" s="941"/>
      <c r="AB33" s="942"/>
      <c r="AC33" s="943">
        <f>$AC$17*$AC$32/$AI$17</f>
        <v>0</v>
      </c>
      <c r="AD33" s="865"/>
      <c r="AE33" s="943">
        <f>$AC$16*$AE$32/$AI$17</f>
        <v>0</v>
      </c>
      <c r="AF33" s="865"/>
      <c r="AG33" s="210"/>
      <c r="AH33" s="210"/>
      <c r="AI33" s="226"/>
    </row>
    <row r="34" spans="25:35" ht="16.8">
      <c r="Y34" s="203"/>
      <c r="Z34" s="940" t="s">
        <v>739</v>
      </c>
      <c r="AA34" s="941"/>
      <c r="AB34" s="942"/>
      <c r="AC34" s="943">
        <f>$AC$18/$AC$20*$AC$19*$AC$25</f>
        <v>0</v>
      </c>
      <c r="AD34" s="897"/>
      <c r="AE34" s="943" t="e">
        <f>($AD$11/$AD$12*$AD$8*$AC$25)</f>
        <v>#DIV/0!</v>
      </c>
      <c r="AF34" s="897"/>
      <c r="AG34" s="210"/>
      <c r="AH34" s="210"/>
      <c r="AI34" s="226"/>
    </row>
    <row r="35" spans="25:35" ht="16.8">
      <c r="Y35" s="203"/>
      <c r="Z35" s="940"/>
      <c r="AA35" s="941"/>
      <c r="AB35" s="942"/>
      <c r="AC35" s="520" t="s">
        <v>740</v>
      </c>
      <c r="AD35" s="520" t="s">
        <v>653</v>
      </c>
      <c r="AE35" s="520" t="s">
        <v>740</v>
      </c>
      <c r="AF35" s="520" t="s">
        <v>653</v>
      </c>
      <c r="AG35" s="210"/>
      <c r="AH35" s="210"/>
      <c r="AI35" s="226"/>
    </row>
    <row r="36" spans="25:35" ht="16.8">
      <c r="Y36" s="203"/>
      <c r="Z36" s="940" t="s">
        <v>741</v>
      </c>
      <c r="AA36" s="941"/>
      <c r="AB36" s="942"/>
      <c r="AC36" s="542">
        <f>$AC$28*$AC$33</f>
        <v>0</v>
      </c>
      <c r="AD36" s="542" t="s">
        <v>10</v>
      </c>
      <c r="AE36" s="542">
        <f>$AC$28*$AE$33</f>
        <v>0</v>
      </c>
      <c r="AF36" s="542" t="s">
        <v>10</v>
      </c>
      <c r="AG36" s="210"/>
      <c r="AH36" s="210"/>
      <c r="AI36" s="226"/>
    </row>
    <row r="37" spans="25:35" ht="16.8">
      <c r="Y37" s="203"/>
      <c r="Z37" s="940" t="s">
        <v>742</v>
      </c>
      <c r="AA37" s="941"/>
      <c r="AB37" s="942"/>
      <c r="AC37" s="542">
        <f>IF($AD$9="electric",$AC$29*$AC$33,0)</f>
        <v>0</v>
      </c>
      <c r="AD37" s="528">
        <f>IF($AD$9="natural gas",$AC$29*$AC$33/$AC$24*$AC$27,0)</f>
        <v>0</v>
      </c>
      <c r="AE37" s="542">
        <f>IF($AD$9="electric",$AC$29*$AE$33,0)</f>
        <v>0</v>
      </c>
      <c r="AF37" s="528">
        <f>IF($AD$9="natural gas",$AC$29*$AE$33/$AC$24*$AC$27,0)</f>
        <v>0</v>
      </c>
      <c r="AG37" s="210"/>
      <c r="AH37" s="210"/>
      <c r="AI37" s="246"/>
    </row>
    <row r="38" spans="25:35" ht="16.8">
      <c r="Y38" s="203"/>
      <c r="Z38" s="940" t="s">
        <v>743</v>
      </c>
      <c r="AA38" s="941"/>
      <c r="AB38" s="942"/>
      <c r="AC38" s="542">
        <f>IF($AD$10="electric",($AC$34-$AC$33)*$AC$23,0)</f>
        <v>0</v>
      </c>
      <c r="AD38" s="528">
        <f>IF($AD$10="natural gas",($AC$34-$AC$33)*$AC$27*$AC$23,0)</f>
        <v>0</v>
      </c>
      <c r="AE38" s="542">
        <f>IF($AD$10="electric",($AE$34-$AE$33)*$AC$23,0)</f>
        <v>0</v>
      </c>
      <c r="AF38" s="528">
        <f>IF($AD$10="natural gas",($AE$34-$AE$33)*$AC$27*$AC$23,0)</f>
        <v>0</v>
      </c>
      <c r="AG38" s="210"/>
      <c r="AH38" s="210"/>
      <c r="AI38" s="210"/>
    </row>
    <row r="39" spans="25:35" ht="15" customHeight="1">
      <c r="Y39" s="227"/>
      <c r="Z39" s="940"/>
      <c r="AA39" s="941"/>
      <c r="AB39" s="942"/>
      <c r="AC39" s="452" t="s">
        <v>5</v>
      </c>
      <c r="AD39" s="452" t="s">
        <v>6</v>
      </c>
      <c r="AE39" s="452" t="s">
        <v>5</v>
      </c>
      <c r="AF39" s="452" t="s">
        <v>6</v>
      </c>
      <c r="AG39" s="228"/>
      <c r="AH39" s="228"/>
      <c r="AI39" s="228"/>
    </row>
    <row r="40" spans="25:35">
      <c r="Y40" s="143" t="s">
        <v>744</v>
      </c>
      <c r="Z40" s="150"/>
      <c r="AA40" s="150"/>
      <c r="AB40" s="150"/>
      <c r="AC40" s="176"/>
      <c r="AD40" s="193"/>
      <c r="AE40" s="150"/>
      <c r="AF40" s="206"/>
      <c r="AG40" s="226"/>
      <c r="AH40" s="247"/>
      <c r="AI40" s="232"/>
    </row>
    <row r="41" spans="25:35">
      <c r="Y41" s="214"/>
      <c r="Z41" s="940"/>
      <c r="AA41" s="941"/>
      <c r="AB41" s="942"/>
      <c r="AC41" s="451" t="s">
        <v>625</v>
      </c>
      <c r="AD41" s="451" t="s">
        <v>626</v>
      </c>
      <c r="AE41" s="451" t="s">
        <v>2</v>
      </c>
      <c r="AF41" s="459"/>
      <c r="AG41" s="248"/>
      <c r="AH41" s="247"/>
      <c r="AI41" s="232"/>
    </row>
    <row r="42" spans="25:35">
      <c r="Y42" s="230"/>
      <c r="Z42" s="940" t="s">
        <v>745</v>
      </c>
      <c r="AA42" s="941"/>
      <c r="AB42" s="942"/>
      <c r="AC42" s="467">
        <f>IFERROR(SUM($AC$36:$AC$38)*$H$5,0)</f>
        <v>0</v>
      </c>
      <c r="AD42" s="467">
        <f>IFERROR(SUM($AE$36:$AE$38)*$H$5,0)</f>
        <v>0</v>
      </c>
      <c r="AE42" s="467">
        <f>AC42-AD42</f>
        <v>0</v>
      </c>
      <c r="AF42" s="459" t="s">
        <v>5</v>
      </c>
      <c r="AG42" s="248"/>
      <c r="AH42" s="247"/>
      <c r="AI42" s="232"/>
    </row>
    <row r="43" spans="25:35">
      <c r="Y43" s="230"/>
      <c r="Z43" s="940"/>
      <c r="AA43" s="941"/>
      <c r="AB43" s="942"/>
      <c r="AG43" s="248"/>
      <c r="AH43" s="247"/>
      <c r="AI43" s="232"/>
    </row>
    <row r="44" spans="25:35" ht="16.8">
      <c r="Y44" s="203"/>
      <c r="Z44" s="940" t="s">
        <v>746</v>
      </c>
      <c r="AA44" s="941"/>
      <c r="AB44" s="942"/>
      <c r="AC44" s="467">
        <f>IFERROR(SUM($AD$37:$AD$38),0)</f>
        <v>0</v>
      </c>
      <c r="AD44" s="467">
        <f>IFERROR(SUM($AF$37:$AF$38),0)</f>
        <v>0</v>
      </c>
      <c r="AE44" s="467">
        <f>AC44-AD44</f>
        <v>0</v>
      </c>
      <c r="AF44" s="459" t="s">
        <v>6</v>
      </c>
      <c r="AG44" s="249"/>
      <c r="AH44" s="247"/>
      <c r="AI44" s="228"/>
    </row>
    <row r="45" spans="25:35">
      <c r="Y45" s="233"/>
      <c r="Z45" s="940" t="s">
        <v>747</v>
      </c>
      <c r="AA45" s="941"/>
      <c r="AB45" s="942"/>
      <c r="AC45" s="467">
        <f>IFERROR($AC$21*$AC$18*$AC$19*$AC$25,0)</f>
        <v>0</v>
      </c>
      <c r="AD45" s="542">
        <f>IFERROR($AD$13*$AD$11*$AD$8*$AC$25,0)</f>
        <v>0</v>
      </c>
      <c r="AE45" s="467">
        <f>AC45-AD45</f>
        <v>0</v>
      </c>
      <c r="AF45" s="459" t="s">
        <v>630</v>
      </c>
      <c r="AG45" s="233"/>
      <c r="AH45" s="233"/>
      <c r="AI45" s="206"/>
    </row>
    <row r="46" spans="25:35">
      <c r="Z46" s="940" t="s">
        <v>628</v>
      </c>
      <c r="AA46" s="941"/>
      <c r="AB46" s="942"/>
      <c r="AC46" s="235"/>
      <c r="AD46" s="235"/>
      <c r="AE46" s="494">
        <f>$H$5*'Incentive Levels'!$F$23</f>
        <v>0</v>
      </c>
      <c r="AF46" s="459"/>
    </row>
  </sheetData>
  <sheetProtection algorithmName="SHA-512" hashValue="hL/dGhaRLUJzcR1Ni5eOLCW7GlcGB8Bm+CXUG2UlBNI0qsD2iuejMK8qomidjAla6p+9U895uwSMvuf18/zgBg==" saltValue="oRNMBLqtTg4AawbXKDrTKQ==" spinCount="100000" sheet="1" objects="1" scenarios="1"/>
  <protectedRanges>
    <protectedRange sqref="D5:R5" name="Range1"/>
  </protectedRanges>
  <mergeCells count="55">
    <mergeCell ref="A2:A3"/>
    <mergeCell ref="B2:B3"/>
    <mergeCell ref="Z45:AB45"/>
    <mergeCell ref="Z43:AB43"/>
    <mergeCell ref="Z46:AB46"/>
    <mergeCell ref="Z42:AB42"/>
    <mergeCell ref="Z44:AB44"/>
    <mergeCell ref="E8:E9"/>
    <mergeCell ref="Z35:AB35"/>
    <mergeCell ref="Z36:AB36"/>
    <mergeCell ref="Z37:AB37"/>
    <mergeCell ref="Z12:AB12"/>
    <mergeCell ref="Z23:AB23"/>
    <mergeCell ref="Z31:AB31"/>
    <mergeCell ref="Z28:AA29"/>
    <mergeCell ref="Z13:AB13"/>
    <mergeCell ref="Z38:AB38"/>
    <mergeCell ref="Z39:AB39"/>
    <mergeCell ref="Z41:AB41"/>
    <mergeCell ref="AE32:AF32"/>
    <mergeCell ref="Z33:AB33"/>
    <mergeCell ref="AC33:AD33"/>
    <mergeCell ref="AE33:AF33"/>
    <mergeCell ref="Z34:AB34"/>
    <mergeCell ref="AC34:AD34"/>
    <mergeCell ref="AE34:AF34"/>
    <mergeCell ref="D8:D9"/>
    <mergeCell ref="AG16:AH16"/>
    <mergeCell ref="Z17:Z21"/>
    <mergeCell ref="AA17:AB17"/>
    <mergeCell ref="AG17:AH17"/>
    <mergeCell ref="AA18:AB18"/>
    <mergeCell ref="AF18:AF19"/>
    <mergeCell ref="AG18:AG19"/>
    <mergeCell ref="AA19:AB19"/>
    <mergeCell ref="AA20:AB20"/>
    <mergeCell ref="AA21:AB21"/>
    <mergeCell ref="Z16:AB16"/>
    <mergeCell ref="Z14:AB14"/>
    <mergeCell ref="T2:W2"/>
    <mergeCell ref="C2:C3"/>
    <mergeCell ref="AE31:AF31"/>
    <mergeCell ref="Z32:AB32"/>
    <mergeCell ref="AC32:AD32"/>
    <mergeCell ref="Z24:AB24"/>
    <mergeCell ref="Z25:AB25"/>
    <mergeCell ref="Z26:AB26"/>
    <mergeCell ref="Z27:AB27"/>
    <mergeCell ref="AC31:AD31"/>
    <mergeCell ref="Z7:AB7"/>
    <mergeCell ref="Z8:AB8"/>
    <mergeCell ref="Z9:AB9"/>
    <mergeCell ref="Z10:AB10"/>
    <mergeCell ref="Z11:AB11"/>
    <mergeCell ref="AF16:AF17"/>
  </mergeCells>
  <dataValidations count="10">
    <dataValidation type="decimal" allowBlank="1" showInputMessage="1" showErrorMessage="1" sqref="E1:G1" xr:uid="{2A7CCBC6-E71D-45DB-A0B9-0E6BB4216A4B}">
      <formula1>0</formula1>
      <formula2>999999999999999000</formula2>
    </dataValidation>
    <dataValidation type="whole" allowBlank="1" showInputMessage="1" showErrorMessage="1" sqref="AC26" xr:uid="{BBB5C12F-73CD-4ABD-9F47-9E1D60D03445}">
      <formula1>1</formula1>
      <formula2>50</formula2>
    </dataValidation>
    <dataValidation type="whole" allowBlank="1" showInputMessage="1" showErrorMessage="1" sqref="AC25" xr:uid="{3373121C-DCDC-4133-A785-7D52170D96AD}">
      <formula1>0</formula1>
      <formula2>52</formula2>
    </dataValidation>
    <dataValidation type="decimal" allowBlank="1" showInputMessage="1" showErrorMessage="1" sqref="AC23 R5 M5" xr:uid="{301EABFB-1C4D-4E60-BC0A-2E5729811CD6}">
      <formula1>0</formula1>
      <formula2>1</formula2>
    </dataValidation>
    <dataValidation type="decimal" allowBlank="1" showInputMessage="1" showErrorMessage="1" sqref="AC19" xr:uid="{521C8DAC-A544-4073-8FF2-6FFFE0D00AE9}">
      <formula1>0.1</formula1>
      <formula2>300</formula2>
    </dataValidation>
    <dataValidation type="decimal" allowBlank="1" showInputMessage="1" showErrorMessage="1" sqref="AC18" xr:uid="{487F5258-930E-4EE6-B115-1CC3529B3DD4}">
      <formula1>0.1</formula1>
      <formula2>10</formula2>
    </dataValidation>
    <dataValidation type="whole" allowBlank="1" showInputMessage="1" showErrorMessage="1" sqref="AC17" xr:uid="{052DB969-2484-49FD-ACDE-F106D4C8B79C}">
      <formula1>1</formula1>
      <formula2>2500</formula2>
    </dataValidation>
    <dataValidation type="whole" allowBlank="1" showInputMessage="1" showErrorMessage="1" sqref="AC16" xr:uid="{BBB97C88-4764-4B1E-84FD-19747CD07314}">
      <formula1>1</formula1>
      <formula2>1500</formula2>
    </dataValidation>
    <dataValidation type="decimal" allowBlank="1" showInputMessage="1" showErrorMessage="1" prompt="Federal Standard effective January 2011 requires WF of no more than 9.5" sqref="AC21" xr:uid="{DF6544C9-B177-45F1-98AE-9FE3E291CFA8}">
      <formula1>0.5</formula1>
      <formula2>20</formula2>
    </dataValidation>
    <dataValidation type="decimal" allowBlank="1" showInputMessage="1" showErrorMessage="1" prompt="Federal Standard effective January 2011 requires MEF of at least 1.26" sqref="AC20" xr:uid="{6DE0912B-0B7C-4457-822E-FDB6DD4712E9}">
      <formula1>0.5</formula1>
      <formula2>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5071A0C-9F81-4E72-9974-B42A87BDA820}">
          <x14:formula1>
            <xm:f>Lookups!$X$115:$X$116</xm:f>
          </x14:formula1>
          <xm:sqref>D5</xm:sqref>
        </x14:dataValidation>
        <x14:dataValidation type="list" allowBlank="1" showInputMessage="1" showErrorMessage="1" xr:uid="{90910D41-D1D7-4AB0-8554-14BCCE3B5C78}">
          <x14:formula1>
            <xm:f>Lookups!$X$111:$X$112</xm:f>
          </x14:formula1>
          <xm:sqref>K5:L5</xm:sqref>
        </x14:dataValidation>
        <x14:dataValidation type="list" allowBlank="1" showInputMessage="1" showErrorMessage="1" xr:uid="{F8848FE1-0D6B-4041-B925-9A60A341CCE4}">
          <x14:formula1>
            <xm:f>Lookups!$Y$115:$Y$116</xm:f>
          </x14:formula1>
          <xm:sqref>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EB2B-3541-4F5B-8059-33BC148626C2}">
  <sheetPr codeName="Sheet9">
    <tabColor theme="4" tint="0.39997558519241921"/>
  </sheetPr>
  <dimension ref="A1:AO121"/>
  <sheetViews>
    <sheetView showGridLines="0" topLeftCell="C1" zoomScale="85" zoomScaleNormal="85" workbookViewId="0">
      <selection activeCell="C1" sqref="C1"/>
    </sheetView>
  </sheetViews>
  <sheetFormatPr defaultColWidth="0" defaultRowHeight="13.8"/>
  <cols>
    <col min="1" max="1" width="12.109375" style="6" hidden="1" customWidth="1"/>
    <col min="2" max="2" width="8" style="6" hidden="1" customWidth="1"/>
    <col min="3" max="3" width="7.6640625" style="6" customWidth="1"/>
    <col min="4" max="4" width="24.6640625" style="6" customWidth="1"/>
    <col min="5" max="5" width="14.88671875" style="6" customWidth="1"/>
    <col min="6" max="6" width="16.109375" style="6" customWidth="1"/>
    <col min="7" max="7" width="14.33203125" style="6" customWidth="1"/>
    <col min="8" max="11" width="15.5546875" style="6" customWidth="1"/>
    <col min="12" max="12" width="11.33203125" style="6" bestFit="1" customWidth="1"/>
    <col min="13" max="13" width="11.33203125" style="6" customWidth="1"/>
    <col min="14" max="14" width="1.88671875" style="6" customWidth="1"/>
    <col min="15" max="16" width="11.33203125" style="6" customWidth="1"/>
    <col min="17" max="17" width="12.44140625" style="6" customWidth="1"/>
    <col min="18" max="18" width="15.88671875" style="6" customWidth="1"/>
    <col min="19" max="19" width="11" style="6" customWidth="1"/>
    <col min="20" max="20" width="2.88671875" style="6" hidden="1" customWidth="1"/>
    <col min="21" max="21" width="24.33203125" style="6" hidden="1" customWidth="1"/>
    <col min="22" max="22" width="12.33203125" style="6" hidden="1" customWidth="1"/>
    <col min="23" max="23" width="16" style="6" hidden="1" customWidth="1"/>
    <col min="24" max="24" width="12.33203125" style="6" hidden="1" customWidth="1"/>
    <col min="25" max="25" width="15.44140625" style="6" hidden="1" customWidth="1"/>
    <col min="26" max="26" width="12.33203125" style="6" hidden="1" customWidth="1"/>
    <col min="27" max="27" width="23.6640625" style="6" hidden="1" customWidth="1"/>
    <col min="28" max="28" width="19.6640625" style="6" hidden="1" customWidth="1"/>
    <col min="29" max="29" width="13.109375" style="6" hidden="1" customWidth="1"/>
    <col min="30" max="30" width="11.5546875" style="6" hidden="1" customWidth="1"/>
    <col min="31" max="31" width="16.109375" style="6" hidden="1" customWidth="1"/>
    <col min="32" max="32" width="14.5546875" style="6" hidden="1" customWidth="1"/>
    <col min="33" max="33" width="12.109375" style="6" hidden="1" customWidth="1"/>
    <col min="34" max="34" width="10.5546875" style="6" hidden="1" customWidth="1"/>
    <col min="35" max="35" width="11.109375" style="6" hidden="1" customWidth="1"/>
    <col min="36" max="36" width="9.88671875" style="6" hidden="1" customWidth="1"/>
    <col min="37" max="37" width="11.5546875" style="6" hidden="1" customWidth="1"/>
    <col min="38" max="16384" width="10" style="6" hidden="1"/>
  </cols>
  <sheetData>
    <row r="1" spans="1:41" s="7" customFormat="1" ht="25.2">
      <c r="C1" s="30" t="s">
        <v>22</v>
      </c>
      <c r="E1" s="8"/>
      <c r="F1" s="8"/>
      <c r="H1" s="8"/>
      <c r="I1" s="8"/>
      <c r="J1" s="8"/>
      <c r="K1" s="8"/>
      <c r="N1" s="6"/>
    </row>
    <row r="2" spans="1:41" s="10" customFormat="1" ht="15" customHeight="1">
      <c r="A2" s="866" t="s">
        <v>118</v>
      </c>
      <c r="B2" s="866" t="s">
        <v>255</v>
      </c>
      <c r="C2" s="866" t="s">
        <v>589</v>
      </c>
      <c r="D2" s="497" t="s">
        <v>590</v>
      </c>
      <c r="E2" s="497"/>
      <c r="F2" s="497"/>
      <c r="G2" s="497"/>
      <c r="H2" s="497"/>
      <c r="I2" s="497"/>
      <c r="J2" s="497"/>
      <c r="K2" s="497"/>
      <c r="L2" s="497"/>
      <c r="M2" s="7"/>
      <c r="N2" s="6"/>
      <c r="O2" s="868" t="s">
        <v>591</v>
      </c>
      <c r="P2" s="868"/>
      <c r="Q2" s="868"/>
      <c r="R2" s="868"/>
    </row>
    <row r="3" spans="1:41" s="127" customFormat="1" ht="75.75" customHeight="1">
      <c r="A3" s="866"/>
      <c r="B3" s="866"/>
      <c r="C3" s="866"/>
      <c r="D3" s="425" t="s">
        <v>99</v>
      </c>
      <c r="E3" s="425" t="s">
        <v>221</v>
      </c>
      <c r="F3" s="425" t="s">
        <v>748</v>
      </c>
      <c r="G3" s="424" t="s">
        <v>594</v>
      </c>
      <c r="H3" s="425" t="s">
        <v>749</v>
      </c>
      <c r="I3" s="425" t="s">
        <v>750</v>
      </c>
      <c r="J3" s="425" t="s">
        <v>751</v>
      </c>
      <c r="K3" s="425" t="s">
        <v>596</v>
      </c>
      <c r="L3" s="424" t="s">
        <v>636</v>
      </c>
      <c r="M3" s="251"/>
      <c r="N3" s="6"/>
      <c r="O3" s="423" t="s">
        <v>599</v>
      </c>
      <c r="P3" s="423" t="s">
        <v>600</v>
      </c>
      <c r="Q3" s="423" t="s">
        <v>6</v>
      </c>
      <c r="R3" s="423" t="s">
        <v>601</v>
      </c>
    </row>
    <row r="4" spans="1:41" s="127" customFormat="1">
      <c r="A4" s="428"/>
      <c r="B4" s="428"/>
      <c r="C4" s="427" t="s">
        <v>602</v>
      </c>
      <c r="D4" s="428" t="s">
        <v>752</v>
      </c>
      <c r="E4" s="428" t="s">
        <v>362</v>
      </c>
      <c r="F4" s="428" t="s">
        <v>753</v>
      </c>
      <c r="G4" s="428">
        <v>1</v>
      </c>
      <c r="H4" s="543" t="s">
        <v>332</v>
      </c>
      <c r="I4" s="428">
        <v>100</v>
      </c>
      <c r="J4" s="428">
        <v>12</v>
      </c>
      <c r="K4" s="428">
        <v>365</v>
      </c>
      <c r="L4" s="428" t="s">
        <v>363</v>
      </c>
      <c r="M4" s="251"/>
      <c r="N4" s="6"/>
      <c r="O4" s="439">
        <v>0.03</v>
      </c>
      <c r="P4" s="439">
        <v>295</v>
      </c>
      <c r="Q4" s="439">
        <v>0</v>
      </c>
      <c r="R4" s="462">
        <v>500</v>
      </c>
    </row>
    <row r="5" spans="1:41" s="10" customFormat="1">
      <c r="A5" s="431" t="str">
        <f>IF(Summary!$C$7="","",Summary!$C$7)</f>
        <v/>
      </c>
      <c r="B5" s="432">
        <f>IFERROR(IF(ISNUMBER(MATCH(Summary!$C$8,Lookups!$B$143:$B$196,0)),"Wilmington, DE",IF(ISNUMBER(MATCH(Summary!$C$8,Lookups!$C$143:$C$187,0)),"Dover, DE",0)),"")</f>
        <v>0</v>
      </c>
      <c r="C5" s="428">
        <v>1</v>
      </c>
      <c r="D5" s="971" t="s">
        <v>752</v>
      </c>
      <c r="E5" s="965" t="s">
        <v>362</v>
      </c>
      <c r="F5" s="309" t="s">
        <v>753</v>
      </c>
      <c r="G5" s="435"/>
      <c r="H5" s="543" t="s">
        <v>332</v>
      </c>
      <c r="I5" s="461"/>
      <c r="J5" s="461"/>
      <c r="K5" s="461"/>
      <c r="L5" s="436"/>
      <c r="M5" s="251"/>
      <c r="N5" s="6"/>
      <c r="O5" s="439">
        <v>0</v>
      </c>
      <c r="P5" s="439" t="str">
        <f>Z111</f>
        <v/>
      </c>
      <c r="Q5" s="543" t="s">
        <v>332</v>
      </c>
      <c r="R5" s="462" t="str">
        <f>IF(K5="","",AA111)</f>
        <v/>
      </c>
    </row>
    <row r="6" spans="1:41" s="10" customFormat="1" ht="12.75" customHeight="1">
      <c r="A6" s="431" t="str">
        <f>IF(Summary!$C$7="","",Summary!$C$7)</f>
        <v/>
      </c>
      <c r="B6" s="432">
        <f>IFERROR(IF(ISNUMBER(MATCH(Summary!$C$8,Lookups!$B$143:$B$196,0)),"Wilmington, DE",IF(ISNUMBER(MATCH(Summary!$C$8,Lookups!$C$143:$C$187,0)),"Dover, DE",0)),"")</f>
        <v>0</v>
      </c>
      <c r="C6" s="428">
        <v>2</v>
      </c>
      <c r="D6" s="972"/>
      <c r="E6" s="966"/>
      <c r="F6" s="310" t="s">
        <v>754</v>
      </c>
      <c r="G6" s="435"/>
      <c r="H6" s="543" t="s">
        <v>332</v>
      </c>
      <c r="I6" s="461"/>
      <c r="J6" s="461"/>
      <c r="K6" s="461"/>
      <c r="L6" s="436"/>
      <c r="M6" s="251"/>
      <c r="N6" s="6"/>
      <c r="O6" s="439">
        <v>0</v>
      </c>
      <c r="P6" s="439" t="str">
        <f>Z112</f>
        <v/>
      </c>
      <c r="Q6" s="543" t="s">
        <v>332</v>
      </c>
      <c r="R6" s="462" t="str">
        <f t="shared" ref="R6:R14" si="0">IF(K6="","",AA112)</f>
        <v/>
      </c>
    </row>
    <row r="7" spans="1:41" s="10" customFormat="1">
      <c r="A7" s="431" t="str">
        <f>IF(Summary!$C$7="","",Summary!$C$7)</f>
        <v/>
      </c>
      <c r="B7" s="432">
        <f>IFERROR(IF(ISNUMBER(MATCH(Summary!$C$8,Lookups!$B$143:$B$196,0)),"Wilmington, DE",IF(ISNUMBER(MATCH(Summary!$C$8,Lookups!$C$143:$C$187,0)),"Dover, DE",0)),"")</f>
        <v>0</v>
      </c>
      <c r="C7" s="428">
        <v>3</v>
      </c>
      <c r="D7" s="973"/>
      <c r="E7" s="967" t="s">
        <v>364</v>
      </c>
      <c r="F7" s="968"/>
      <c r="G7" s="435"/>
      <c r="H7" s="543" t="s">
        <v>332</v>
      </c>
      <c r="I7" s="461"/>
      <c r="J7" s="461"/>
      <c r="K7" s="461"/>
      <c r="L7" s="436"/>
      <c r="M7" s="251"/>
      <c r="N7" s="6"/>
      <c r="O7" s="439">
        <v>0</v>
      </c>
      <c r="P7" s="543" t="s">
        <v>332</v>
      </c>
      <c r="Q7" s="439" t="str">
        <f>Z113</f>
        <v/>
      </c>
      <c r="R7" s="462" t="str">
        <f t="shared" si="0"/>
        <v/>
      </c>
    </row>
    <row r="8" spans="1:41" s="10" customFormat="1" ht="13.2">
      <c r="A8" s="431" t="str">
        <f>IF(Summary!$C$7="","",Summary!$C$7)</f>
        <v/>
      </c>
      <c r="B8" s="432">
        <f>IFERROR(IF(ISNUMBER(MATCH(Summary!$C$8,Lookups!$B$143:$B$196,0)),"Wilmington, DE",IF(ISNUMBER(MATCH(Summary!$C$8,Lookups!$C$143:$C$187,0)),"Dover, DE",0)),"")</f>
        <v>0</v>
      </c>
      <c r="C8" s="428">
        <v>4</v>
      </c>
      <c r="D8" s="974" t="s">
        <v>755</v>
      </c>
      <c r="E8" s="975" t="s">
        <v>362</v>
      </c>
      <c r="F8" s="309" t="s">
        <v>756</v>
      </c>
      <c r="G8" s="435"/>
      <c r="H8" s="435"/>
      <c r="I8" s="461"/>
      <c r="J8" s="461"/>
      <c r="K8" s="461"/>
      <c r="L8" s="436"/>
      <c r="M8" s="251"/>
      <c r="O8" s="439">
        <v>0</v>
      </c>
      <c r="P8" s="439" t="str">
        <f>Z114</f>
        <v/>
      </c>
      <c r="Q8" s="543" t="s">
        <v>332</v>
      </c>
      <c r="R8" s="462" t="str">
        <f t="shared" si="0"/>
        <v/>
      </c>
    </row>
    <row r="9" spans="1:41" s="10" customFormat="1">
      <c r="A9" s="431" t="str">
        <f>IF(Summary!$C$7="","",Summary!$C$7)</f>
        <v/>
      </c>
      <c r="B9" s="432">
        <f>IFERROR(IF(ISNUMBER(MATCH(Summary!$C$8,Lookups!$B$143:$B$196,0)),"Wilmington, DE",IF(ISNUMBER(MATCH(Summary!$C$8,Lookups!$C$143:$C$187,0)),"Dover, DE",0)),"")</f>
        <v>0</v>
      </c>
      <c r="C9" s="428">
        <v>5</v>
      </c>
      <c r="D9" s="972"/>
      <c r="E9" s="976"/>
      <c r="F9" s="310" t="s">
        <v>757</v>
      </c>
      <c r="G9" s="435"/>
      <c r="H9" s="435"/>
      <c r="I9" s="461"/>
      <c r="J9" s="461"/>
      <c r="K9" s="461"/>
      <c r="L9" s="436"/>
      <c r="M9" s="251"/>
      <c r="N9" s="6"/>
      <c r="O9" s="439">
        <v>0</v>
      </c>
      <c r="P9" s="439" t="str">
        <f>Z115</f>
        <v/>
      </c>
      <c r="Q9" s="543" t="s">
        <v>332</v>
      </c>
      <c r="R9" s="462" t="str">
        <f t="shared" si="0"/>
        <v/>
      </c>
    </row>
    <row r="10" spans="1:41" s="10" customFormat="1">
      <c r="A10" s="431" t="str">
        <f>IF(Summary!$C$7="","",Summary!$C$7)</f>
        <v/>
      </c>
      <c r="B10" s="432">
        <f>IFERROR(IF(ISNUMBER(MATCH(Summary!$C$8,Lookups!$B$143:$B$196,0)),"Wilmington, DE",IF(ISNUMBER(MATCH(Summary!$C$8,Lookups!$C$143:$C$187,0)),"Dover, DE",0)),"")</f>
        <v>0</v>
      </c>
      <c r="C10" s="428">
        <v>6</v>
      </c>
      <c r="D10" s="972"/>
      <c r="E10" s="969" t="s">
        <v>364</v>
      </c>
      <c r="F10" s="309" t="s">
        <v>756</v>
      </c>
      <c r="G10" s="435"/>
      <c r="H10" s="435"/>
      <c r="I10" s="461"/>
      <c r="J10" s="461"/>
      <c r="K10" s="461"/>
      <c r="L10" s="436"/>
      <c r="M10" s="251"/>
      <c r="N10" s="6"/>
      <c r="O10" s="439">
        <v>0</v>
      </c>
      <c r="P10" s="543" t="s">
        <v>332</v>
      </c>
      <c r="Q10" s="439" t="str">
        <f>Z116</f>
        <v/>
      </c>
      <c r="R10" s="462" t="str">
        <f t="shared" si="0"/>
        <v/>
      </c>
    </row>
    <row r="11" spans="1:41" s="10" customFormat="1">
      <c r="A11" s="431" t="str">
        <f>IF(Summary!$C$7="","",Summary!$C$7)</f>
        <v/>
      </c>
      <c r="B11" s="432">
        <f>IFERROR(IF(ISNUMBER(MATCH(Summary!$C$8,Lookups!$B$143:$B$196,0)),"Wilmington, DE",IF(ISNUMBER(MATCH(Summary!$C$8,Lookups!$C$143:$C$187,0)),"Dover, DE",0)),"")</f>
        <v>0</v>
      </c>
      <c r="C11" s="428">
        <v>7</v>
      </c>
      <c r="D11" s="973"/>
      <c r="E11" s="970"/>
      <c r="F11" s="310" t="s">
        <v>757</v>
      </c>
      <c r="G11" s="435"/>
      <c r="H11" s="435"/>
      <c r="I11" s="461"/>
      <c r="J11" s="461"/>
      <c r="K11" s="461"/>
      <c r="L11" s="436"/>
      <c r="M11" s="251"/>
      <c r="N11" s="6"/>
      <c r="O11" s="439">
        <v>0</v>
      </c>
      <c r="P11" s="543" t="s">
        <v>332</v>
      </c>
      <c r="Q11" s="439" t="str">
        <f>Z117</f>
        <v/>
      </c>
      <c r="R11" s="462" t="str">
        <f t="shared" si="0"/>
        <v/>
      </c>
    </row>
    <row r="12" spans="1:41" s="10" customFormat="1">
      <c r="A12" s="431" t="str">
        <f>IF(Summary!$C$7="","",Summary!$C$7)</f>
        <v/>
      </c>
      <c r="B12" s="432">
        <f>IFERROR(IF(ISNUMBER(MATCH(Summary!$C$8,Lookups!$B$143:$B$196,0)),"Wilmington, DE",IF(ISNUMBER(MATCH(Summary!$C$8,Lookups!$C$143:$C$187,0)),"Dover, DE",0)),"")</f>
        <v>0</v>
      </c>
      <c r="C12" s="428">
        <v>6</v>
      </c>
      <c r="D12" s="974" t="s">
        <v>758</v>
      </c>
      <c r="E12" s="969" t="s">
        <v>364</v>
      </c>
      <c r="F12" s="312" t="s">
        <v>759</v>
      </c>
      <c r="G12" s="435"/>
      <c r="H12" s="543" t="s">
        <v>332</v>
      </c>
      <c r="I12" s="461"/>
      <c r="J12" s="461"/>
      <c r="K12" s="461"/>
      <c r="L12" s="436"/>
      <c r="M12" s="251"/>
      <c r="N12" s="6"/>
      <c r="O12" s="439">
        <v>0</v>
      </c>
      <c r="P12" s="543" t="s">
        <v>332</v>
      </c>
      <c r="Q12" s="439" t="str">
        <f>Z118</f>
        <v/>
      </c>
      <c r="R12" s="462" t="str">
        <f t="shared" si="0"/>
        <v/>
      </c>
    </row>
    <row r="13" spans="1:41" s="10" customFormat="1">
      <c r="A13" s="431" t="str">
        <f>IF(Summary!$C$7="","",Summary!$C$7)</f>
        <v/>
      </c>
      <c r="B13" s="432">
        <f>IFERROR(IF(ISNUMBER(MATCH(Summary!$C$8,Lookups!$B$143:$B$196,0)),"Wilmington, DE",IF(ISNUMBER(MATCH(Summary!$C$8,Lookups!$C$143:$C$187,0)),"Dover, DE",0)),"")</f>
        <v>0</v>
      </c>
      <c r="C13" s="428">
        <v>7</v>
      </c>
      <c r="D13" s="973"/>
      <c r="E13" s="970"/>
      <c r="F13" s="313" t="s">
        <v>760</v>
      </c>
      <c r="G13" s="435"/>
      <c r="H13" s="543" t="s">
        <v>332</v>
      </c>
      <c r="I13" s="461"/>
      <c r="J13" s="461"/>
      <c r="K13" s="461"/>
      <c r="L13" s="436"/>
      <c r="M13" s="251"/>
      <c r="N13" s="6"/>
      <c r="O13" s="439">
        <v>0</v>
      </c>
      <c r="P13" s="543" t="s">
        <v>332</v>
      </c>
      <c r="Q13" s="439" t="str">
        <f t="shared" ref="Q13:Q14" si="1">Z119</f>
        <v/>
      </c>
      <c r="R13" s="462" t="str">
        <f t="shared" si="0"/>
        <v/>
      </c>
      <c r="V13" s="266"/>
      <c r="W13" s="266"/>
      <c r="X13" s="266"/>
      <c r="Y13" s="266"/>
      <c r="Z13" s="266"/>
      <c r="AA13" s="266"/>
      <c r="AB13" s="266"/>
      <c r="AC13" s="266"/>
      <c r="AD13" s="266"/>
      <c r="AE13" s="266"/>
      <c r="AF13" s="266"/>
      <c r="AG13" s="266"/>
      <c r="AH13" s="266"/>
      <c r="AI13" s="266"/>
      <c r="AJ13" s="266"/>
      <c r="AK13" s="266"/>
      <c r="AL13" s="266"/>
      <c r="AM13" s="266"/>
      <c r="AN13" s="266"/>
      <c r="AO13" s="266"/>
    </row>
    <row r="14" spans="1:41" s="10" customFormat="1">
      <c r="A14" s="431" t="str">
        <f>IF(Summary!$C$7="","",Summary!$C$7)</f>
        <v/>
      </c>
      <c r="B14" s="432">
        <f>IFERROR(IF(ISNUMBER(MATCH(Summary!$C$8,Lookups!$B$143:$B$196,0)),"Wilmington, DE",IF(ISNUMBER(MATCH(Summary!$C$8,Lookups!$C$143:$C$187,0)),"Dover, DE",0)),"")</f>
        <v>0</v>
      </c>
      <c r="C14" s="428">
        <v>7</v>
      </c>
      <c r="D14" s="311" t="s">
        <v>761</v>
      </c>
      <c r="E14" s="967" t="s">
        <v>364</v>
      </c>
      <c r="F14" s="968" t="s">
        <v>760</v>
      </c>
      <c r="G14" s="435"/>
      <c r="H14" s="543" t="s">
        <v>332</v>
      </c>
      <c r="I14" s="461"/>
      <c r="J14" s="461"/>
      <c r="K14" s="461"/>
      <c r="L14" s="436"/>
      <c r="M14" s="251"/>
      <c r="N14" s="6"/>
      <c r="O14" s="439">
        <v>0</v>
      </c>
      <c r="P14" s="543" t="s">
        <v>332</v>
      </c>
      <c r="Q14" s="439" t="str">
        <f t="shared" si="1"/>
        <v/>
      </c>
      <c r="R14" s="462" t="str">
        <f t="shared" si="0"/>
        <v/>
      </c>
      <c r="V14" s="266"/>
      <c r="W14" s="266"/>
      <c r="X14" s="266"/>
      <c r="Y14" s="266"/>
      <c r="Z14" s="266"/>
      <c r="AA14" s="266"/>
      <c r="AB14" s="266"/>
      <c r="AC14" s="266"/>
      <c r="AD14" s="266"/>
      <c r="AE14" s="266"/>
      <c r="AF14" s="266"/>
      <c r="AG14" s="266"/>
      <c r="AH14" s="266"/>
      <c r="AI14" s="266"/>
      <c r="AJ14" s="266"/>
      <c r="AK14" s="266"/>
      <c r="AL14" s="266"/>
      <c r="AM14" s="266"/>
      <c r="AN14" s="266"/>
      <c r="AO14" s="266"/>
    </row>
    <row r="15" spans="1:41" s="10" customFormat="1">
      <c r="C15" s="124" t="s">
        <v>762</v>
      </c>
      <c r="E15" s="129"/>
      <c r="F15" s="129"/>
      <c r="H15" s="129"/>
      <c r="I15" s="129"/>
      <c r="J15" s="129"/>
      <c r="K15" s="129"/>
      <c r="N15" s="6"/>
      <c r="V15" s="266"/>
      <c r="W15" s="266"/>
      <c r="X15" s="266"/>
      <c r="Y15" s="266"/>
      <c r="Z15" s="266"/>
      <c r="AA15" s="266"/>
      <c r="AB15" s="266"/>
      <c r="AC15" s="266"/>
      <c r="AD15" s="266"/>
      <c r="AE15" s="266"/>
      <c r="AF15" s="266"/>
      <c r="AG15" s="266"/>
      <c r="AH15" s="266"/>
      <c r="AI15" s="266"/>
      <c r="AJ15" s="266"/>
      <c r="AK15" s="266"/>
      <c r="AL15" s="266"/>
      <c r="AM15" s="266"/>
      <c r="AN15" s="266"/>
      <c r="AO15" s="266"/>
    </row>
    <row r="16" spans="1:41" s="10" customFormat="1">
      <c r="D16" s="131"/>
      <c r="E16" s="129"/>
      <c r="F16" s="129"/>
      <c r="H16" s="129"/>
      <c r="I16" s="129"/>
      <c r="J16" s="129"/>
      <c r="K16" s="129"/>
      <c r="N16" s="6"/>
      <c r="V16" s="266"/>
      <c r="W16" s="266"/>
      <c r="X16" s="266"/>
      <c r="Y16" s="266"/>
      <c r="Z16" s="266"/>
      <c r="AA16" s="266"/>
      <c r="AB16" s="266"/>
      <c r="AC16" s="266"/>
      <c r="AD16" s="266"/>
      <c r="AE16" s="266"/>
      <c r="AF16" s="266"/>
      <c r="AG16" s="266"/>
      <c r="AH16" s="266"/>
      <c r="AI16" s="266"/>
      <c r="AJ16" s="266"/>
      <c r="AK16" s="266"/>
      <c r="AL16" s="266"/>
      <c r="AM16" s="266"/>
      <c r="AN16" s="266"/>
      <c r="AO16" s="266"/>
    </row>
    <row r="17" spans="3:41">
      <c r="V17" s="217"/>
      <c r="W17" s="217"/>
      <c r="X17" s="217"/>
      <c r="Y17" s="217"/>
      <c r="Z17" s="217"/>
      <c r="AA17" s="217"/>
      <c r="AB17" s="217"/>
      <c r="AC17" s="217"/>
      <c r="AD17" s="217"/>
      <c r="AE17" s="217"/>
      <c r="AF17" s="217"/>
      <c r="AG17" s="217"/>
      <c r="AH17" s="217"/>
      <c r="AI17" s="217"/>
      <c r="AJ17" s="217"/>
      <c r="AK17" s="217"/>
      <c r="AL17" s="217"/>
      <c r="AM17" s="217"/>
      <c r="AN17" s="217"/>
      <c r="AO17" s="217"/>
    </row>
    <row r="18" spans="3:41" ht="14.4">
      <c r="D18" s="143" t="s">
        <v>763</v>
      </c>
      <c r="E18" s="206"/>
      <c r="F18" s="206"/>
      <c r="G18" s="206"/>
      <c r="H18" s="207"/>
      <c r="I18" s="207"/>
      <c r="J18" s="208"/>
      <c r="K18" s="209"/>
      <c r="L18" s="208"/>
      <c r="M18" s="251"/>
      <c r="V18" s="217"/>
      <c r="W18" s="217"/>
      <c r="X18" s="217"/>
      <c r="Y18" s="217"/>
      <c r="Z18" s="217"/>
      <c r="AA18" s="217"/>
      <c r="AB18" s="217"/>
      <c r="AC18" s="217"/>
      <c r="AD18" s="217"/>
      <c r="AE18" s="217"/>
      <c r="AF18" s="217"/>
      <c r="AG18" s="217"/>
      <c r="AH18" s="217"/>
      <c r="AI18" s="217"/>
      <c r="AJ18" s="217"/>
      <c r="AK18" s="217"/>
      <c r="AL18" s="217"/>
      <c r="AM18" s="217"/>
      <c r="AN18" s="217"/>
      <c r="AO18" s="217"/>
    </row>
    <row r="19" spans="3:41" ht="15" customHeight="1">
      <c r="C19" s="143"/>
      <c r="D19" s="985" t="s">
        <v>81</v>
      </c>
      <c r="E19" s="980" t="s">
        <v>362</v>
      </c>
      <c r="F19" s="980"/>
      <c r="G19" s="981"/>
      <c r="H19" s="862"/>
      <c r="I19" s="980" t="s">
        <v>653</v>
      </c>
      <c r="J19" s="981"/>
      <c r="K19" s="863"/>
      <c r="L19" s="206"/>
      <c r="M19" s="251"/>
      <c r="V19" s="217"/>
      <c r="W19" s="217"/>
      <c r="X19" s="217"/>
      <c r="Y19" s="217"/>
      <c r="Z19" s="217"/>
      <c r="AA19" s="217"/>
      <c r="AB19" s="217"/>
      <c r="AC19" s="217"/>
      <c r="AD19" s="217"/>
      <c r="AE19" s="200"/>
      <c r="AF19" s="201"/>
      <c r="AG19" s="250"/>
      <c r="AH19" s="206"/>
      <c r="AI19" s="206"/>
      <c r="AJ19" s="206"/>
      <c r="AK19" s="217"/>
      <c r="AL19" s="217"/>
      <c r="AM19" s="217"/>
      <c r="AN19" s="217"/>
      <c r="AO19" s="217"/>
    </row>
    <row r="20" spans="3:41" ht="24" customHeight="1">
      <c r="C20" s="143"/>
      <c r="D20" s="986"/>
      <c r="E20" s="977" t="s">
        <v>753</v>
      </c>
      <c r="F20" s="982"/>
      <c r="G20" s="977" t="s">
        <v>754</v>
      </c>
      <c r="H20" s="844"/>
      <c r="I20" s="978" t="s">
        <v>764</v>
      </c>
      <c r="J20" s="978" t="s">
        <v>765</v>
      </c>
      <c r="K20" s="863"/>
      <c r="L20" s="206"/>
      <c r="M20" s="251"/>
      <c r="T20" s="143" t="s">
        <v>647</v>
      </c>
      <c r="U20" s="150"/>
      <c r="V20" s="206"/>
      <c r="W20" s="206"/>
      <c r="X20" s="206"/>
      <c r="Y20" s="206"/>
      <c r="Z20" s="206"/>
      <c r="AA20" s="173"/>
      <c r="AB20" s="173"/>
      <c r="AC20" s="173"/>
      <c r="AD20" s="173"/>
      <c r="AE20" s="173"/>
      <c r="AF20" s="201"/>
      <c r="AG20" s="250"/>
      <c r="AH20" s="206"/>
      <c r="AI20" s="206"/>
      <c r="AJ20" s="206"/>
      <c r="AK20" s="217"/>
      <c r="AL20" s="217"/>
      <c r="AM20" s="217"/>
      <c r="AN20" s="217"/>
      <c r="AO20" s="217"/>
    </row>
    <row r="21" spans="3:41">
      <c r="C21" s="202"/>
      <c r="D21" s="987"/>
      <c r="E21" s="451" t="s">
        <v>764</v>
      </c>
      <c r="F21" s="451" t="s">
        <v>765</v>
      </c>
      <c r="G21" s="451" t="s">
        <v>764</v>
      </c>
      <c r="H21" s="451" t="s">
        <v>765</v>
      </c>
      <c r="I21" s="978"/>
      <c r="J21" s="978"/>
      <c r="K21" s="844"/>
      <c r="L21" s="214"/>
      <c r="M21" s="255"/>
      <c r="T21" s="143"/>
      <c r="U21" s="914"/>
      <c r="V21" s="984" t="s">
        <v>609</v>
      </c>
      <c r="W21" s="984"/>
      <c r="X21" s="984"/>
      <c r="Y21" s="984"/>
      <c r="Z21" s="984"/>
      <c r="AA21" s="984"/>
      <c r="AB21" s="984"/>
      <c r="AC21" s="980" t="s">
        <v>610</v>
      </c>
      <c r="AD21" s="980"/>
      <c r="AE21" s="980"/>
      <c r="AF21" s="980"/>
      <c r="AG21" s="980"/>
      <c r="AH21" s="980"/>
      <c r="AI21" s="980"/>
      <c r="AJ21" s="980"/>
      <c r="AK21" s="980"/>
      <c r="AL21" s="980"/>
      <c r="AM21" s="980"/>
      <c r="AN21" s="217"/>
      <c r="AO21" s="217"/>
    </row>
    <row r="22" spans="3:41" ht="14.4">
      <c r="C22" s="214"/>
      <c r="D22" s="548" t="s">
        <v>766</v>
      </c>
      <c r="E22" s="549">
        <v>0.65</v>
      </c>
      <c r="F22" s="550">
        <v>0.71</v>
      </c>
      <c r="G22" s="549">
        <v>0.68</v>
      </c>
      <c r="H22" s="550">
        <v>0.70669999999999999</v>
      </c>
      <c r="I22" s="549">
        <v>0.44</v>
      </c>
      <c r="J22" s="550">
        <v>0.46</v>
      </c>
      <c r="K22" s="551"/>
      <c r="L22" s="214"/>
      <c r="M22" s="256"/>
      <c r="T22" s="143"/>
      <c r="U22" s="915"/>
      <c r="V22" s="983" t="s">
        <v>752</v>
      </c>
      <c r="W22" s="983"/>
      <c r="X22" s="916"/>
      <c r="Y22" s="983" t="s">
        <v>755</v>
      </c>
      <c r="Z22" s="983"/>
      <c r="AA22" s="983" t="s">
        <v>758</v>
      </c>
      <c r="AB22" s="983"/>
      <c r="AC22" s="322" t="s">
        <v>752</v>
      </c>
      <c r="AD22" s="323"/>
      <c r="AE22" s="324"/>
      <c r="AF22" s="983" t="s">
        <v>755</v>
      </c>
      <c r="AG22" s="983"/>
      <c r="AH22" s="983"/>
      <c r="AI22" s="983"/>
      <c r="AJ22" s="983" t="s">
        <v>758</v>
      </c>
      <c r="AK22" s="983"/>
      <c r="AL22" s="264" t="s">
        <v>761</v>
      </c>
      <c r="AM22" s="321"/>
      <c r="AN22" s="217"/>
      <c r="AO22" s="217"/>
    </row>
    <row r="23" spans="3:41" ht="14.25" customHeight="1">
      <c r="C23" s="214"/>
      <c r="D23" s="548" t="s">
        <v>767</v>
      </c>
      <c r="E23" s="552">
        <v>90</v>
      </c>
      <c r="F23" s="553">
        <v>90</v>
      </c>
      <c r="G23" s="552">
        <v>45</v>
      </c>
      <c r="H23" s="553">
        <v>50</v>
      </c>
      <c r="I23" s="552">
        <v>83</v>
      </c>
      <c r="J23" s="553">
        <v>86</v>
      </c>
      <c r="K23" s="554" t="s">
        <v>768</v>
      </c>
      <c r="L23" s="214"/>
      <c r="M23" s="256"/>
      <c r="T23" s="202"/>
      <c r="U23" s="979"/>
      <c r="V23" s="977" t="s">
        <v>362</v>
      </c>
      <c r="W23" s="977"/>
      <c r="X23" s="978" t="s">
        <v>653</v>
      </c>
      <c r="Y23" s="978" t="s">
        <v>362</v>
      </c>
      <c r="Z23" s="978" t="s">
        <v>653</v>
      </c>
      <c r="AA23" s="977" t="s">
        <v>653</v>
      </c>
      <c r="AB23" s="977"/>
      <c r="AC23" s="518" t="s">
        <v>362</v>
      </c>
      <c r="AD23" s="518"/>
      <c r="AE23" s="555" t="s">
        <v>653</v>
      </c>
      <c r="AF23" s="978" t="s">
        <v>362</v>
      </c>
      <c r="AG23" s="978"/>
      <c r="AH23" s="978" t="s">
        <v>653</v>
      </c>
      <c r="AI23" s="978"/>
      <c r="AJ23" s="977" t="s">
        <v>653</v>
      </c>
      <c r="AK23" s="977"/>
      <c r="AL23" s="555" t="s">
        <v>653</v>
      </c>
      <c r="AM23" s="318"/>
      <c r="AN23" s="217"/>
      <c r="AO23" s="217"/>
    </row>
    <row r="24" spans="3:41" ht="14.4">
      <c r="C24" s="214"/>
      <c r="D24" s="548" t="s">
        <v>769</v>
      </c>
      <c r="E24" s="552">
        <v>1</v>
      </c>
      <c r="F24" s="553">
        <v>1</v>
      </c>
      <c r="G24" s="552">
        <v>1</v>
      </c>
      <c r="H24" s="553">
        <v>1</v>
      </c>
      <c r="I24" s="552">
        <v>1</v>
      </c>
      <c r="J24" s="553">
        <v>1</v>
      </c>
      <c r="K24" s="554"/>
      <c r="L24" s="214"/>
      <c r="M24" s="256"/>
      <c r="T24" s="202"/>
      <c r="U24" s="205"/>
      <c r="V24" s="546" t="s">
        <v>753</v>
      </c>
      <c r="W24" s="546" t="s">
        <v>754</v>
      </c>
      <c r="X24" s="978"/>
      <c r="Y24" s="978"/>
      <c r="Z24" s="978"/>
      <c r="AA24" s="546" t="s">
        <v>759</v>
      </c>
      <c r="AB24" s="546" t="s">
        <v>760</v>
      </c>
      <c r="AC24" s="546" t="s">
        <v>753</v>
      </c>
      <c r="AD24" s="546" t="s">
        <v>754</v>
      </c>
      <c r="AE24" s="555"/>
      <c r="AF24" s="555" t="s">
        <v>770</v>
      </c>
      <c r="AG24" s="555" t="s">
        <v>771</v>
      </c>
      <c r="AH24" s="555" t="s">
        <v>770</v>
      </c>
      <c r="AI24" s="555" t="s">
        <v>771</v>
      </c>
      <c r="AJ24" s="546" t="s">
        <v>759</v>
      </c>
      <c r="AK24" s="546" t="s">
        <v>760</v>
      </c>
      <c r="AL24" s="555"/>
      <c r="AM24" s="219"/>
      <c r="AN24" s="217"/>
      <c r="AO24" s="217"/>
    </row>
    <row r="25" spans="3:41">
      <c r="C25" s="214"/>
      <c r="D25" s="548" t="s">
        <v>772</v>
      </c>
      <c r="E25" s="552">
        <v>8.8000000000000007</v>
      </c>
      <c r="F25" s="553">
        <v>8.5500000000000007</v>
      </c>
      <c r="G25" s="552">
        <v>8.5</v>
      </c>
      <c r="H25" s="553">
        <v>7.68</v>
      </c>
      <c r="I25" s="552">
        <v>11.7</v>
      </c>
      <c r="J25" s="553">
        <v>10.75</v>
      </c>
      <c r="K25" s="554" t="s">
        <v>773</v>
      </c>
      <c r="L25" s="214"/>
      <c r="M25" s="256"/>
      <c r="T25" s="202"/>
      <c r="U25" s="474" t="s">
        <v>774</v>
      </c>
      <c r="V25" s="467">
        <v>12</v>
      </c>
      <c r="W25" s="467">
        <v>12</v>
      </c>
      <c r="X25" s="467">
        <v>12</v>
      </c>
      <c r="Y25" s="467">
        <v>12</v>
      </c>
      <c r="Z25" s="467">
        <v>12</v>
      </c>
      <c r="AA25" s="467">
        <v>12</v>
      </c>
      <c r="AB25" s="467">
        <v>12</v>
      </c>
      <c r="AC25" s="467">
        <f>J5</f>
        <v>0</v>
      </c>
      <c r="AD25" s="467">
        <f>J6</f>
        <v>0</v>
      </c>
      <c r="AE25" s="488">
        <f>J7</f>
        <v>0</v>
      </c>
      <c r="AF25" s="467">
        <f>J8</f>
        <v>0</v>
      </c>
      <c r="AG25" s="467">
        <f>J9</f>
        <v>0</v>
      </c>
      <c r="AH25" s="467">
        <f>J10</f>
        <v>0</v>
      </c>
      <c r="AI25" s="467">
        <f>J11</f>
        <v>0</v>
      </c>
      <c r="AJ25" s="467">
        <f>J12</f>
        <v>0</v>
      </c>
      <c r="AK25" s="467">
        <f>J13</f>
        <v>0</v>
      </c>
      <c r="AL25" s="467">
        <f>J14</f>
        <v>0</v>
      </c>
      <c r="AM25" s="447" t="s">
        <v>775</v>
      </c>
      <c r="AN25" s="217"/>
      <c r="AO25" s="217"/>
    </row>
    <row r="26" spans="3:41">
      <c r="C26" s="214"/>
      <c r="D26" s="548" t="s">
        <v>776</v>
      </c>
      <c r="E26" s="552">
        <f>1.5633*1000</f>
        <v>1563.3</v>
      </c>
      <c r="F26" s="556">
        <f>1.3888*1000</f>
        <v>1388.8</v>
      </c>
      <c r="G26" s="552">
        <f>0.89*1000</f>
        <v>890</v>
      </c>
      <c r="H26" s="556">
        <f>0.7*1000</f>
        <v>700</v>
      </c>
      <c r="I26" s="552">
        <v>13096</v>
      </c>
      <c r="J26" s="556">
        <v>9449.4500000000007</v>
      </c>
      <c r="K26" s="554" t="s">
        <v>777</v>
      </c>
      <c r="L26" s="214"/>
      <c r="M26" s="256"/>
      <c r="T26" s="202"/>
      <c r="U26" s="474" t="s">
        <v>616</v>
      </c>
      <c r="V26" s="467">
        <v>365</v>
      </c>
      <c r="W26" s="467">
        <v>365</v>
      </c>
      <c r="X26" s="467">
        <v>365</v>
      </c>
      <c r="Y26" s="467">
        <v>365</v>
      </c>
      <c r="Z26" s="467">
        <v>365</v>
      </c>
      <c r="AA26" s="467">
        <v>365</v>
      </c>
      <c r="AB26" s="467">
        <v>365</v>
      </c>
      <c r="AC26" s="467">
        <f>K5</f>
        <v>0</v>
      </c>
      <c r="AD26" s="467">
        <f>K6</f>
        <v>0</v>
      </c>
      <c r="AE26" s="488">
        <f>K7</f>
        <v>0</v>
      </c>
      <c r="AF26" s="467">
        <f>K8</f>
        <v>0</v>
      </c>
      <c r="AG26" s="467">
        <f>K9</f>
        <v>0</v>
      </c>
      <c r="AH26" s="467">
        <f>K10</f>
        <v>0</v>
      </c>
      <c r="AI26" s="467">
        <f>K11</f>
        <v>0</v>
      </c>
      <c r="AJ26" s="467">
        <f>K12</f>
        <v>0</v>
      </c>
      <c r="AK26" s="467">
        <f>K13</f>
        <v>0</v>
      </c>
      <c r="AL26" s="467">
        <f>K14</f>
        <v>0</v>
      </c>
      <c r="AM26" s="447" t="s">
        <v>617</v>
      </c>
      <c r="AN26" s="217"/>
      <c r="AO26" s="217"/>
    </row>
    <row r="27" spans="3:41" ht="16.5" customHeight="1">
      <c r="C27" s="214"/>
      <c r="D27" s="548" t="s">
        <v>778</v>
      </c>
      <c r="E27" s="552">
        <v>2000</v>
      </c>
      <c r="F27" s="556">
        <v>1600</v>
      </c>
      <c r="G27" s="552">
        <v>1030</v>
      </c>
      <c r="H27" s="556">
        <v>1000</v>
      </c>
      <c r="I27" s="557">
        <v>15100</v>
      </c>
      <c r="J27" s="556">
        <v>12000</v>
      </c>
      <c r="K27" s="558" t="s">
        <v>779</v>
      </c>
      <c r="L27" s="214"/>
      <c r="M27" s="256"/>
      <c r="T27" s="202"/>
      <c r="U27" s="474" t="s">
        <v>749</v>
      </c>
      <c r="V27" s="467" t="s">
        <v>332</v>
      </c>
      <c r="W27" s="467" t="s">
        <v>332</v>
      </c>
      <c r="X27" s="467" t="s">
        <v>332</v>
      </c>
      <c r="Y27" s="467">
        <v>10</v>
      </c>
      <c r="Z27" s="467">
        <v>20</v>
      </c>
      <c r="AA27" s="467" t="s">
        <v>332</v>
      </c>
      <c r="AB27" s="467" t="s">
        <v>332</v>
      </c>
      <c r="AC27" s="541" t="s">
        <v>332</v>
      </c>
      <c r="AD27" s="541" t="s">
        <v>332</v>
      </c>
      <c r="AE27" s="541" t="s">
        <v>332</v>
      </c>
      <c r="AF27" s="467">
        <f>SUM(H8)</f>
        <v>0</v>
      </c>
      <c r="AG27" s="467">
        <f>H9</f>
        <v>0</v>
      </c>
      <c r="AH27" s="467">
        <f>H10</f>
        <v>0</v>
      </c>
      <c r="AI27" s="467">
        <f>H11</f>
        <v>0</v>
      </c>
      <c r="AJ27" s="467" t="s">
        <v>332</v>
      </c>
      <c r="AK27" s="467" t="s">
        <v>332</v>
      </c>
      <c r="AL27" s="467" t="s">
        <v>332</v>
      </c>
      <c r="AM27" s="447"/>
      <c r="AN27" s="217"/>
      <c r="AO27" s="217"/>
    </row>
    <row r="28" spans="3:41">
      <c r="C28" s="214"/>
      <c r="L28" s="228"/>
      <c r="M28" s="257"/>
      <c r="T28" s="202"/>
      <c r="U28" s="474" t="s">
        <v>780</v>
      </c>
      <c r="V28" s="467">
        <v>100</v>
      </c>
      <c r="W28" s="467">
        <v>100</v>
      </c>
      <c r="X28" s="467">
        <v>100</v>
      </c>
      <c r="Y28" s="467">
        <f>IF(AF27&lt;15,200,250)</f>
        <v>200</v>
      </c>
      <c r="Z28" s="467">
        <f>IF(AI27&lt;15,200,IF(AI27&lt;30,250,400))</f>
        <v>200</v>
      </c>
      <c r="AA28" s="467">
        <v>600</v>
      </c>
      <c r="AB28" s="467">
        <v>1200</v>
      </c>
      <c r="AC28" s="467">
        <f>I5</f>
        <v>0</v>
      </c>
      <c r="AD28" s="467">
        <f>I6</f>
        <v>0</v>
      </c>
      <c r="AE28" s="467">
        <f>I7</f>
        <v>0</v>
      </c>
      <c r="AF28" s="467">
        <f>SUM(I8)</f>
        <v>0</v>
      </c>
      <c r="AG28" s="467">
        <f>I9</f>
        <v>0</v>
      </c>
      <c r="AH28" s="467">
        <f>I10</f>
        <v>0</v>
      </c>
      <c r="AI28" s="467">
        <f>I11</f>
        <v>0</v>
      </c>
      <c r="AJ28" s="467">
        <f>I12</f>
        <v>0</v>
      </c>
      <c r="AK28" s="467">
        <f>I13</f>
        <v>0</v>
      </c>
      <c r="AL28" s="467">
        <f>I14</f>
        <v>0</v>
      </c>
      <c r="AM28" s="447" t="s">
        <v>781</v>
      </c>
      <c r="AN28" s="217"/>
      <c r="AO28" s="217"/>
    </row>
    <row r="29" spans="3:41" ht="14.4">
      <c r="C29" s="214"/>
      <c r="D29" s="258"/>
      <c r="E29" s="259"/>
      <c r="F29"/>
      <c r="G29" s="259"/>
      <c r="H29" s="5"/>
      <c r="I29" s="197"/>
      <c r="J29" s="259"/>
      <c r="K29" s="211"/>
      <c r="L29" s="197"/>
      <c r="M29" s="257"/>
      <c r="T29" s="202"/>
      <c r="U29" s="474"/>
      <c r="V29" s="559"/>
      <c r="W29" s="559"/>
      <c r="X29" s="559"/>
      <c r="Y29" s="559"/>
      <c r="Z29" s="559"/>
      <c r="AA29" s="559"/>
      <c r="AB29" s="559"/>
      <c r="AC29" s="559"/>
      <c r="AD29" s="559"/>
      <c r="AE29" s="559"/>
      <c r="AF29" s="559"/>
      <c r="AG29" s="559"/>
      <c r="AH29" s="559"/>
      <c r="AI29" s="559"/>
      <c r="AJ29" s="559"/>
      <c r="AK29" s="559"/>
      <c r="AL29" s="547"/>
      <c r="AM29" s="560"/>
      <c r="AN29" s="217"/>
      <c r="AO29" s="217"/>
    </row>
    <row r="30" spans="3:41" ht="14.4">
      <c r="C30" s="214"/>
      <c r="D30" s="985" t="s">
        <v>782</v>
      </c>
      <c r="E30" s="980" t="s">
        <v>362</v>
      </c>
      <c r="F30" s="980"/>
      <c r="G30" s="981"/>
      <c r="H30" s="844"/>
      <c r="I30" s="980" t="s">
        <v>653</v>
      </c>
      <c r="J30" s="980"/>
      <c r="K30" s="981"/>
      <c r="L30" s="844"/>
      <c r="M30" s="863"/>
      <c r="V30" s="217"/>
      <c r="W30" s="217"/>
      <c r="X30" s="217"/>
      <c r="Y30" s="217"/>
      <c r="Z30" s="217"/>
      <c r="AA30" s="217"/>
      <c r="AB30" s="217"/>
      <c r="AC30" s="217"/>
      <c r="AD30" s="217"/>
      <c r="AE30" s="267"/>
      <c r="AF30" s="214"/>
      <c r="AG30" s="214"/>
      <c r="AH30" s="214"/>
      <c r="AI30" s="214"/>
      <c r="AJ30" s="214"/>
      <c r="AK30" s="217"/>
      <c r="AL30" s="217"/>
      <c r="AM30" s="217"/>
      <c r="AN30" s="217"/>
      <c r="AO30" s="217"/>
    </row>
    <row r="31" spans="3:41" ht="14.4">
      <c r="C31" s="214"/>
      <c r="D31" s="986"/>
      <c r="E31" s="977" t="s">
        <v>764</v>
      </c>
      <c r="F31" s="982"/>
      <c r="G31" s="878" t="s">
        <v>765</v>
      </c>
      <c r="H31" s="988"/>
      <c r="I31" s="977" t="s">
        <v>764</v>
      </c>
      <c r="J31" s="982"/>
      <c r="K31" s="878" t="s">
        <v>765</v>
      </c>
      <c r="L31" s="988"/>
      <c r="M31" s="863"/>
      <c r="V31" s="217"/>
      <c r="W31" s="217"/>
      <c r="X31" s="217"/>
      <c r="Y31" s="217"/>
      <c r="Z31" s="217"/>
      <c r="AA31" s="217"/>
      <c r="AB31" s="217"/>
      <c r="AC31" s="217"/>
      <c r="AD31" s="217"/>
      <c r="AE31" s="214"/>
      <c r="AF31" s="214"/>
      <c r="AG31" s="214"/>
      <c r="AH31" s="214"/>
      <c r="AI31" s="214"/>
      <c r="AJ31" s="214"/>
      <c r="AK31" s="217"/>
      <c r="AL31" s="217"/>
      <c r="AM31" s="217"/>
      <c r="AN31" s="217"/>
      <c r="AO31" s="217"/>
    </row>
    <row r="32" spans="3:41">
      <c r="C32" s="214"/>
      <c r="D32" s="987"/>
      <c r="E32" s="451" t="s">
        <v>783</v>
      </c>
      <c r="F32" s="451" t="s">
        <v>784</v>
      </c>
      <c r="G32" s="451" t="s">
        <v>783</v>
      </c>
      <c r="H32" s="451" t="s">
        <v>784</v>
      </c>
      <c r="I32" s="451" t="s">
        <v>783</v>
      </c>
      <c r="J32" s="451" t="s">
        <v>784</v>
      </c>
      <c r="K32" s="451" t="s">
        <v>783</v>
      </c>
      <c r="L32" s="451" t="s">
        <v>784</v>
      </c>
      <c r="M32" s="844"/>
      <c r="U32" s="261" t="s">
        <v>785</v>
      </c>
      <c r="V32" s="261"/>
      <c r="W32" s="261"/>
      <c r="X32" s="261"/>
      <c r="Y32" s="261"/>
      <c r="Z32" s="261"/>
      <c r="AA32" s="217"/>
      <c r="AB32" s="217"/>
      <c r="AC32" s="217"/>
      <c r="AD32" s="217"/>
      <c r="AE32" s="214"/>
      <c r="AF32" s="214"/>
      <c r="AG32" s="214"/>
      <c r="AH32" s="214"/>
      <c r="AI32" s="214"/>
      <c r="AJ32" s="214"/>
      <c r="AK32" s="217"/>
      <c r="AL32" s="217"/>
      <c r="AM32" s="217"/>
      <c r="AN32" s="217"/>
      <c r="AO32" s="217"/>
    </row>
    <row r="33" spans="3:41">
      <c r="C33" s="214"/>
      <c r="D33" s="548" t="s">
        <v>786</v>
      </c>
      <c r="E33" s="561">
        <v>0.5</v>
      </c>
      <c r="F33" s="562">
        <f>1-E33</f>
        <v>0.5</v>
      </c>
      <c r="G33" s="550">
        <v>0.5</v>
      </c>
      <c r="H33" s="550">
        <f>1-G33</f>
        <v>0.5</v>
      </c>
      <c r="I33" s="561">
        <v>0.5</v>
      </c>
      <c r="J33" s="562">
        <f>1-I33</f>
        <v>0.5</v>
      </c>
      <c r="K33" s="550">
        <v>0.5</v>
      </c>
      <c r="L33" s="550">
        <f>1-K33</f>
        <v>0.5</v>
      </c>
      <c r="M33" s="551"/>
      <c r="U33" s="261" t="s">
        <v>787</v>
      </c>
      <c r="V33" s="261"/>
      <c r="W33" s="261"/>
      <c r="X33" s="261"/>
      <c r="Y33" s="261"/>
      <c r="Z33" s="261"/>
      <c r="AA33" s="217"/>
      <c r="AB33" s="217"/>
      <c r="AC33" s="217"/>
      <c r="AD33" s="217"/>
      <c r="AE33" s="214"/>
      <c r="AF33" s="214"/>
      <c r="AG33" s="214"/>
      <c r="AH33" s="214"/>
      <c r="AI33" s="214"/>
      <c r="AJ33" s="214"/>
      <c r="AK33" s="217"/>
      <c r="AL33" s="217"/>
      <c r="AM33" s="217"/>
      <c r="AN33" s="217"/>
      <c r="AO33" s="217"/>
    </row>
    <row r="34" spans="3:41">
      <c r="C34" s="214"/>
      <c r="D34" s="548" t="s">
        <v>766</v>
      </c>
      <c r="E34" s="561">
        <v>0.72</v>
      </c>
      <c r="F34" s="561">
        <v>0.49</v>
      </c>
      <c r="G34" s="550">
        <v>0.76</v>
      </c>
      <c r="H34" s="550">
        <v>0.55000000000000004</v>
      </c>
      <c r="I34" s="561">
        <v>0.52</v>
      </c>
      <c r="J34" s="561">
        <v>0.39</v>
      </c>
      <c r="K34" s="550">
        <v>0.56000000000000005</v>
      </c>
      <c r="L34" s="550">
        <v>0.41</v>
      </c>
      <c r="M34" s="551"/>
      <c r="U34" s="327"/>
      <c r="V34" s="327"/>
      <c r="W34" s="327" t="s">
        <v>788</v>
      </c>
      <c r="X34" s="327"/>
      <c r="Y34" s="327" t="s">
        <v>789</v>
      </c>
      <c r="Z34" s="327"/>
      <c r="AA34" s="217"/>
      <c r="AB34" s="217"/>
      <c r="AC34" s="217"/>
      <c r="AD34" s="217"/>
      <c r="AE34" s="214"/>
      <c r="AF34" s="214"/>
      <c r="AG34" s="214"/>
      <c r="AH34" s="214"/>
      <c r="AI34" s="214"/>
      <c r="AJ34" s="214"/>
      <c r="AK34" s="217"/>
      <c r="AL34" s="217"/>
      <c r="AM34" s="217"/>
      <c r="AN34" s="217"/>
      <c r="AO34" s="217"/>
    </row>
    <row r="35" spans="3:41">
      <c r="C35" s="214"/>
      <c r="D35" s="548" t="s">
        <v>767</v>
      </c>
      <c r="E35" s="563">
        <v>79</v>
      </c>
      <c r="F35" s="563">
        <v>126</v>
      </c>
      <c r="G35" s="553">
        <v>119</v>
      </c>
      <c r="H35" s="553">
        <v>177</v>
      </c>
      <c r="I35" s="563">
        <v>176</v>
      </c>
      <c r="J35" s="563">
        <v>211</v>
      </c>
      <c r="K35" s="553">
        <v>210</v>
      </c>
      <c r="L35" s="553">
        <v>277</v>
      </c>
      <c r="M35" s="554" t="s">
        <v>768</v>
      </c>
      <c r="U35" s="548" t="s">
        <v>790</v>
      </c>
      <c r="V35" s="548" t="s">
        <v>791</v>
      </c>
      <c r="W35" s="548" t="s">
        <v>792</v>
      </c>
      <c r="X35" s="548" t="s">
        <v>784</v>
      </c>
      <c r="Y35" s="548" t="s">
        <v>792</v>
      </c>
      <c r="Z35" s="548" t="s">
        <v>784</v>
      </c>
      <c r="AA35" s="217"/>
      <c r="AB35" s="217"/>
      <c r="AC35" s="217"/>
      <c r="AD35" s="217"/>
      <c r="AE35" s="214"/>
      <c r="AF35" s="214"/>
      <c r="AG35" s="214"/>
      <c r="AH35" s="214"/>
      <c r="AI35" s="214"/>
      <c r="AJ35" s="214"/>
      <c r="AK35" s="217"/>
      <c r="AL35" s="217"/>
      <c r="AM35" s="217"/>
      <c r="AN35" s="217"/>
      <c r="AO35" s="217"/>
    </row>
    <row r="36" spans="3:41">
      <c r="C36" s="214"/>
      <c r="D36" s="548" t="s">
        <v>769</v>
      </c>
      <c r="E36" s="552">
        <f>IF(SUM(G8:G9)&gt;0,1,0)</f>
        <v>0</v>
      </c>
      <c r="F36" s="552">
        <f>IF(SUM(G8:G9)&gt;0,1,0)</f>
        <v>0</v>
      </c>
      <c r="G36" s="553">
        <f>IF(SUM(G8:G9)&gt;0,1,0)</f>
        <v>0</v>
      </c>
      <c r="H36" s="553">
        <f>IF(SUM(G8:G9)&gt;0,1,0)</f>
        <v>0</v>
      </c>
      <c r="I36" s="552">
        <f>IF(SUM(G10:G11)&gt;0,1,0)</f>
        <v>0</v>
      </c>
      <c r="J36" s="552">
        <f>IF(SUM(G10:G11)&gt;0,1,0)</f>
        <v>0</v>
      </c>
      <c r="K36" s="553">
        <f>IF(SUM(G10:G11)&gt;0,1,0)</f>
        <v>0</v>
      </c>
      <c r="L36" s="553">
        <f>IF(SUM(G10:G11)&gt;0,1,0)</f>
        <v>0</v>
      </c>
      <c r="M36" s="554"/>
      <c r="U36" s="474" t="s">
        <v>793</v>
      </c>
      <c r="V36" s="564" t="s">
        <v>794</v>
      </c>
      <c r="W36" s="564">
        <v>1.32</v>
      </c>
      <c r="X36" s="564">
        <v>5.26</v>
      </c>
      <c r="Y36" s="991">
        <f>0.08*SUM(H8:H9)+0.4989</f>
        <v>0.49890000000000001</v>
      </c>
      <c r="Z36" s="991">
        <f>0.133*SUM(H8:H9)+0.64</f>
        <v>0.64</v>
      </c>
      <c r="AA36" s="217"/>
      <c r="AB36" s="217"/>
      <c r="AC36" s="217"/>
      <c r="AD36" s="217"/>
      <c r="AE36" s="214"/>
      <c r="AF36" s="214"/>
      <c r="AG36" s="214"/>
      <c r="AH36" s="214"/>
      <c r="AI36" s="214"/>
      <c r="AJ36" s="214"/>
      <c r="AK36" s="217"/>
      <c r="AL36" s="217"/>
      <c r="AM36" s="217"/>
      <c r="AN36" s="217"/>
      <c r="AO36" s="217"/>
    </row>
    <row r="37" spans="3:41">
      <c r="C37" s="214"/>
      <c r="D37" s="548" t="s">
        <v>772</v>
      </c>
      <c r="E37" s="563">
        <v>15</v>
      </c>
      <c r="F37" s="563">
        <v>15</v>
      </c>
      <c r="G37" s="556">
        <v>15</v>
      </c>
      <c r="H37" s="556">
        <v>15</v>
      </c>
      <c r="I37" s="563">
        <v>15</v>
      </c>
      <c r="J37" s="563">
        <v>15</v>
      </c>
      <c r="K37" s="556">
        <v>15</v>
      </c>
      <c r="L37" s="556">
        <v>15</v>
      </c>
      <c r="M37" s="554" t="s">
        <v>773</v>
      </c>
      <c r="U37" s="474"/>
      <c r="V37" s="564" t="s">
        <v>795</v>
      </c>
      <c r="W37" s="564">
        <v>2.2799999999999998</v>
      </c>
      <c r="X37" s="564">
        <v>8.7100000000000009</v>
      </c>
      <c r="Y37" s="992"/>
      <c r="Z37" s="992"/>
      <c r="AA37" s="217"/>
      <c r="AB37" s="217"/>
      <c r="AC37" s="217"/>
      <c r="AD37" s="217"/>
      <c r="AE37" s="214"/>
      <c r="AF37" s="214"/>
      <c r="AG37" s="214"/>
      <c r="AH37" s="214"/>
      <c r="AI37" s="214"/>
      <c r="AJ37" s="214"/>
      <c r="AK37" s="217"/>
      <c r="AL37" s="217"/>
      <c r="AM37" s="217"/>
      <c r="AN37" s="217"/>
      <c r="AO37" s="217"/>
    </row>
    <row r="38" spans="3:41">
      <c r="C38" s="214"/>
      <c r="D38" s="548" t="s">
        <v>796</v>
      </c>
      <c r="E38" s="563">
        <f>IF(AF26&lt;15,(3*1000),(3.75*1000))</f>
        <v>3000</v>
      </c>
      <c r="F38" s="563">
        <f>IF(AF26&lt;15,(3*1000),(3.75*1000))</f>
        <v>3000</v>
      </c>
      <c r="G38" s="556">
        <f>IF(AF26&lt;15,(1.5*1000),(2*1000))</f>
        <v>1500</v>
      </c>
      <c r="H38" s="556">
        <f>IF(AF26&lt;15,(1.5*1000),(2*1000))</f>
        <v>1500</v>
      </c>
      <c r="I38" s="563">
        <f>IF(AH26&lt;15,(18000),(22000))</f>
        <v>18000</v>
      </c>
      <c r="J38" s="563">
        <f>IF(AH26&lt;15,(18000),(22000))</f>
        <v>18000</v>
      </c>
      <c r="K38" s="556">
        <f>IF(AH26&lt;15,(13000),(16000))</f>
        <v>13000</v>
      </c>
      <c r="L38" s="556">
        <f>IF(AH26&lt;15,(13000),(16000))</f>
        <v>13000</v>
      </c>
      <c r="M38" s="554" t="s">
        <v>777</v>
      </c>
      <c r="U38" s="474" t="s">
        <v>797</v>
      </c>
      <c r="V38" s="564" t="s">
        <v>798</v>
      </c>
      <c r="W38" s="564">
        <v>0.72</v>
      </c>
      <c r="X38" s="564">
        <v>0.49</v>
      </c>
      <c r="Y38" s="564">
        <v>0.76</v>
      </c>
      <c r="Z38" s="564">
        <v>0.55000000000000004</v>
      </c>
      <c r="AA38" s="217"/>
      <c r="AB38" s="217"/>
      <c r="AC38" s="217"/>
      <c r="AD38" s="217"/>
      <c r="AE38" s="214"/>
      <c r="AF38" s="214"/>
      <c r="AG38" s="214"/>
      <c r="AH38" s="214"/>
      <c r="AI38" s="214"/>
      <c r="AJ38" s="214"/>
      <c r="AK38" s="217"/>
      <c r="AL38" s="217"/>
      <c r="AM38" s="217"/>
      <c r="AN38" s="217"/>
      <c r="AO38" s="217"/>
    </row>
    <row r="39" spans="3:41">
      <c r="C39" s="214"/>
      <c r="D39" s="548" t="s">
        <v>799</v>
      </c>
      <c r="E39" s="563">
        <f>IF(AG26&lt;15,(3*1000),(3.75*1000))</f>
        <v>3000</v>
      </c>
      <c r="F39" s="563">
        <f>IF(AG26&lt;15,(3*1000),(3.75*1000))</f>
        <v>3000</v>
      </c>
      <c r="G39" s="556">
        <f>IF(AG27&lt;15,(1.5*1000),(2*1000))</f>
        <v>1500</v>
      </c>
      <c r="H39" s="556">
        <f>IF(AG27&lt;15,(1.5*1000),(2*1000))</f>
        <v>1500</v>
      </c>
      <c r="I39" s="563">
        <f>IF(AI27&lt;15,(18000),(22000))</f>
        <v>18000</v>
      </c>
      <c r="J39" s="563">
        <f>IF(AI27&lt;15,(18000),(22000))</f>
        <v>18000</v>
      </c>
      <c r="K39" s="556">
        <f>IF(AI27&lt;15,(13000),(16000))</f>
        <v>13000</v>
      </c>
      <c r="L39" s="556">
        <f>IF(AI27&lt;15,(13000),(16000))</f>
        <v>13000</v>
      </c>
      <c r="M39" s="554" t="s">
        <v>777</v>
      </c>
      <c r="U39" s="474" t="s">
        <v>800</v>
      </c>
      <c r="V39" s="564" t="s">
        <v>794</v>
      </c>
      <c r="W39" s="564">
        <v>79</v>
      </c>
      <c r="X39" s="564">
        <v>126</v>
      </c>
      <c r="Y39" s="564">
        <v>119</v>
      </c>
      <c r="Z39" s="564">
        <v>177</v>
      </c>
      <c r="AA39" s="217"/>
      <c r="AB39" s="217"/>
      <c r="AC39" s="217"/>
      <c r="AD39" s="217"/>
      <c r="AE39" s="214"/>
      <c r="AF39" s="214"/>
      <c r="AG39" s="214"/>
      <c r="AH39" s="214"/>
      <c r="AI39" s="214"/>
      <c r="AJ39" s="214"/>
      <c r="AK39" s="217"/>
      <c r="AL39" s="217"/>
      <c r="AM39" s="217"/>
      <c r="AN39" s="217"/>
      <c r="AO39" s="217"/>
    </row>
    <row r="40" spans="3:41">
      <c r="C40" s="214"/>
      <c r="D40" s="548" t="s">
        <v>801</v>
      </c>
      <c r="E40" s="563">
        <f>IF($AF$27&lt;15,1320,2280)</f>
        <v>1320</v>
      </c>
      <c r="F40" s="563">
        <f>IF($AF$27&lt;15,5260,8710)</f>
        <v>5260</v>
      </c>
      <c r="G40" s="556">
        <f>(0.08*AF27+0.4989)*1000</f>
        <v>498.90000000000003</v>
      </c>
      <c r="H40" s="556">
        <f>(0.133*AF27+0.64)*1000</f>
        <v>640</v>
      </c>
      <c r="I40" s="563">
        <f>IF($AH$27&lt;15,8747,IF($AH$27&lt;30,10788,13000))</f>
        <v>8747</v>
      </c>
      <c r="J40" s="563">
        <f>IF($AH$27&lt;15,18656,IF($AH$27&lt;30,24562,43300))</f>
        <v>18656</v>
      </c>
      <c r="K40" s="556">
        <f>150*AH26+5425</f>
        <v>5425</v>
      </c>
      <c r="L40" s="556">
        <f>200*AH26+6511</f>
        <v>6511</v>
      </c>
      <c r="M40" s="558" t="s">
        <v>779</v>
      </c>
      <c r="U40" s="474"/>
      <c r="V40" s="564" t="s">
        <v>795</v>
      </c>
      <c r="W40" s="564">
        <v>166</v>
      </c>
      <c r="X40" s="564">
        <v>295</v>
      </c>
      <c r="Y40" s="564">
        <v>201</v>
      </c>
      <c r="Z40" s="564">
        <v>349</v>
      </c>
      <c r="AA40" s="217"/>
      <c r="AB40" s="217"/>
      <c r="AC40" s="217"/>
      <c r="AD40" s="217"/>
      <c r="AE40" s="214"/>
      <c r="AF40" s="214"/>
      <c r="AG40" s="214"/>
      <c r="AH40" s="214"/>
      <c r="AI40" s="214"/>
      <c r="AJ40" s="214"/>
      <c r="AK40" s="217"/>
      <c r="AL40" s="217"/>
      <c r="AM40" s="217"/>
      <c r="AN40" s="217"/>
      <c r="AO40" s="217"/>
    </row>
    <row r="41" spans="3:41">
      <c r="D41" s="548" t="s">
        <v>802</v>
      </c>
      <c r="E41" s="563">
        <f>IF($AG$27&lt;15,1320,2280)</f>
        <v>1320</v>
      </c>
      <c r="F41" s="563">
        <f>IF($AG$27&lt;15,5260,8710)</f>
        <v>5260</v>
      </c>
      <c r="G41" s="556">
        <f>(0.08*AG27+0.4989)*1000</f>
        <v>498.90000000000003</v>
      </c>
      <c r="H41" s="556">
        <f>(0.133*AG27+0.64)*1000</f>
        <v>640</v>
      </c>
      <c r="I41" s="563">
        <f>IF($AI$27&lt;15,8747,IF($AI$27&lt;30,10788,13000))</f>
        <v>8747</v>
      </c>
      <c r="J41" s="563">
        <f>IF($AI$27&lt;15,18656,IF($AI$27&lt;30,24562,43300))</f>
        <v>18656</v>
      </c>
      <c r="K41" s="556">
        <f>150*AI27+5425</f>
        <v>5425</v>
      </c>
      <c r="L41" s="556">
        <f>200*AI27+6511</f>
        <v>6511</v>
      </c>
      <c r="M41" s="558" t="s">
        <v>779</v>
      </c>
      <c r="V41" s="217"/>
      <c r="W41" s="217"/>
      <c r="X41" s="217"/>
      <c r="Y41" s="217"/>
      <c r="Z41" s="217"/>
      <c r="AA41" s="217"/>
      <c r="AB41" s="217"/>
      <c r="AC41" s="217"/>
      <c r="AD41" s="217"/>
      <c r="AE41" s="214"/>
      <c r="AF41" s="214"/>
      <c r="AG41" s="214"/>
      <c r="AH41" s="214"/>
      <c r="AI41" s="214"/>
      <c r="AJ41" s="214"/>
      <c r="AK41" s="217"/>
      <c r="AL41" s="217"/>
      <c r="AM41" s="217"/>
      <c r="AN41" s="217"/>
      <c r="AO41" s="217"/>
    </row>
    <row r="42" spans="3:41" ht="14.4">
      <c r="T42" s="214"/>
      <c r="U42" s="261" t="s">
        <v>803</v>
      </c>
      <c r="V42" s="261"/>
      <c r="W42" s="261"/>
      <c r="X42" s="261"/>
      <c r="Y42" s="261"/>
      <c r="Z42" s="261"/>
      <c r="AA42" s="259"/>
      <c r="AB42" s="220"/>
      <c r="AC42" s="197"/>
      <c r="AD42" s="268"/>
      <c r="AE42" s="267"/>
      <c r="AF42" s="214"/>
      <c r="AG42" s="214"/>
      <c r="AH42" s="214"/>
      <c r="AI42" s="214"/>
      <c r="AJ42" s="214"/>
      <c r="AK42" s="217"/>
      <c r="AL42" s="217"/>
      <c r="AM42" s="217"/>
      <c r="AN42" s="217"/>
      <c r="AO42" s="217"/>
    </row>
    <row r="43" spans="3:41">
      <c r="T43" s="143"/>
      <c r="U43" s="261" t="s">
        <v>787</v>
      </c>
      <c r="V43" s="261"/>
      <c r="W43" s="261"/>
      <c r="X43" s="261"/>
      <c r="Y43" s="261"/>
      <c r="Z43" s="261"/>
      <c r="AA43" s="217"/>
      <c r="AB43" s="206"/>
      <c r="AC43" s="206"/>
      <c r="AD43" s="199"/>
      <c r="AE43" s="206"/>
      <c r="AF43" s="206"/>
      <c r="AG43" s="206"/>
      <c r="AH43" s="206"/>
      <c r="AI43" s="206"/>
      <c r="AJ43" s="206"/>
      <c r="AK43" s="217"/>
      <c r="AL43" s="217"/>
      <c r="AM43" s="217"/>
      <c r="AN43" s="217"/>
      <c r="AO43" s="217"/>
    </row>
    <row r="44" spans="3:41">
      <c r="D44" s="544" t="s">
        <v>804</v>
      </c>
      <c r="E44" s="502" t="s">
        <v>653</v>
      </c>
      <c r="F44" s="503"/>
      <c r="G44" s="503"/>
      <c r="H44" s="504"/>
      <c r="I44" s="501"/>
      <c r="J44" s="206"/>
      <c r="T44" s="143"/>
      <c r="U44" s="327"/>
      <c r="V44" s="327"/>
      <c r="W44" s="327" t="s">
        <v>788</v>
      </c>
      <c r="X44" s="327"/>
      <c r="Y44" s="327" t="s">
        <v>789</v>
      </c>
      <c r="Z44" s="327"/>
      <c r="AB44" s="206"/>
      <c r="AC44" s="206"/>
      <c r="AD44" s="251"/>
      <c r="AE44" s="206"/>
      <c r="AF44" s="206"/>
      <c r="AG44" s="206"/>
      <c r="AH44" s="206"/>
      <c r="AI44" s="206"/>
      <c r="AJ44" s="206"/>
    </row>
    <row r="45" spans="3:41">
      <c r="D45" s="315"/>
      <c r="E45" s="565" t="s">
        <v>759</v>
      </c>
      <c r="F45" s="566"/>
      <c r="G45" s="565" t="s">
        <v>760</v>
      </c>
      <c r="H45" s="566"/>
      <c r="I45" s="314"/>
      <c r="J45" s="206"/>
      <c r="T45" s="202"/>
      <c r="U45" s="548" t="s">
        <v>790</v>
      </c>
      <c r="V45" s="548" t="s">
        <v>791</v>
      </c>
      <c r="W45" s="548" t="s">
        <v>792</v>
      </c>
      <c r="X45" s="548" t="s">
        <v>784</v>
      </c>
      <c r="Y45" s="548" t="s">
        <v>792</v>
      </c>
      <c r="Z45" s="548" t="s">
        <v>784</v>
      </c>
      <c r="AB45" s="214"/>
      <c r="AC45" s="214"/>
      <c r="AD45" s="255"/>
      <c r="AE45" s="214"/>
      <c r="AF45" s="214"/>
      <c r="AG45" s="214"/>
      <c r="AH45" s="214"/>
      <c r="AI45" s="214"/>
      <c r="AJ45" s="214"/>
    </row>
    <row r="46" spans="3:41">
      <c r="D46" s="316"/>
      <c r="E46" s="451" t="s">
        <v>764</v>
      </c>
      <c r="F46" s="451" t="s">
        <v>765</v>
      </c>
      <c r="G46" s="451" t="s">
        <v>764</v>
      </c>
      <c r="H46" s="451" t="s">
        <v>765</v>
      </c>
      <c r="I46" s="317"/>
      <c r="J46" s="206"/>
      <c r="T46" s="214"/>
      <c r="U46" s="474" t="s">
        <v>793</v>
      </c>
      <c r="V46" s="564" t="s">
        <v>794</v>
      </c>
      <c r="W46" s="564">
        <v>8.7469999999999996E-3</v>
      </c>
      <c r="X46" s="564">
        <v>1.8655999999999999E-2</v>
      </c>
      <c r="Y46" s="991">
        <f>0.00015*SUM(H10:H11)+0.005425</f>
        <v>5.4250000000000001E-3</v>
      </c>
      <c r="Z46" s="991">
        <f>0.0002*SUM(H10:H11)+0.006511</f>
        <v>6.5110000000000003E-3</v>
      </c>
      <c r="AB46" s="214"/>
      <c r="AC46" s="214"/>
      <c r="AD46" s="256"/>
      <c r="AE46" s="214"/>
      <c r="AF46" s="214"/>
      <c r="AG46" s="214"/>
      <c r="AH46" s="214"/>
      <c r="AI46" s="214"/>
      <c r="AJ46" s="214"/>
    </row>
    <row r="47" spans="3:41">
      <c r="D47" s="548" t="s">
        <v>805</v>
      </c>
      <c r="E47" s="549">
        <v>0.3</v>
      </c>
      <c r="F47" s="550">
        <v>0.48</v>
      </c>
      <c r="G47" s="549">
        <v>0.3</v>
      </c>
      <c r="H47" s="550">
        <v>0.52</v>
      </c>
      <c r="I47" s="551"/>
      <c r="J47" s="206"/>
      <c r="T47" s="214"/>
      <c r="U47" s="474"/>
      <c r="V47" s="564" t="s">
        <v>795</v>
      </c>
      <c r="W47" s="564">
        <v>7.8230000000000001E-3</v>
      </c>
      <c r="X47" s="564">
        <v>2.4562E-2</v>
      </c>
      <c r="Y47" s="992"/>
      <c r="Z47" s="992"/>
      <c r="AB47" s="214"/>
      <c r="AC47" s="214"/>
      <c r="AD47" s="256"/>
      <c r="AE47" s="214"/>
      <c r="AF47" s="214"/>
      <c r="AG47" s="214"/>
      <c r="AH47" s="214"/>
      <c r="AI47" s="214"/>
      <c r="AJ47" s="214"/>
    </row>
    <row r="48" spans="3:41">
      <c r="D48" s="548" t="s">
        <v>767</v>
      </c>
      <c r="E48" s="567">
        <v>130</v>
      </c>
      <c r="F48" s="553">
        <v>130</v>
      </c>
      <c r="G48" s="567">
        <v>250</v>
      </c>
      <c r="H48" s="553">
        <v>250</v>
      </c>
      <c r="I48" s="554" t="s">
        <v>768</v>
      </c>
      <c r="J48" s="206"/>
      <c r="T48" s="214"/>
      <c r="U48" s="474" t="s">
        <v>797</v>
      </c>
      <c r="V48" s="564" t="s">
        <v>798</v>
      </c>
      <c r="W48" s="564">
        <v>0.52</v>
      </c>
      <c r="X48" s="564">
        <v>0.39</v>
      </c>
      <c r="Y48" s="564">
        <v>0.56000000000000005</v>
      </c>
      <c r="Z48" s="564">
        <v>0.41</v>
      </c>
      <c r="AB48" s="214"/>
      <c r="AC48" s="214"/>
      <c r="AD48" s="256"/>
      <c r="AE48" s="214"/>
      <c r="AF48" s="214"/>
      <c r="AG48" s="214"/>
      <c r="AH48" s="214"/>
      <c r="AI48" s="214"/>
      <c r="AJ48" s="214"/>
    </row>
    <row r="49" spans="4:36">
      <c r="D49" s="548" t="s">
        <v>769</v>
      </c>
      <c r="E49" s="567">
        <v>1</v>
      </c>
      <c r="F49" s="553">
        <v>1</v>
      </c>
      <c r="G49" s="567">
        <v>1</v>
      </c>
      <c r="H49" s="553">
        <v>1</v>
      </c>
      <c r="I49" s="554"/>
      <c r="J49" s="206"/>
      <c r="T49" s="214"/>
      <c r="U49" s="474" t="s">
        <v>800</v>
      </c>
      <c r="V49" s="564" t="s">
        <v>794</v>
      </c>
      <c r="W49" s="564">
        <v>125</v>
      </c>
      <c r="X49" s="564">
        <v>195</v>
      </c>
      <c r="Y49" s="564">
        <v>124</v>
      </c>
      <c r="Z49" s="564">
        <v>172</v>
      </c>
      <c r="AB49" s="214"/>
      <c r="AC49" s="214"/>
      <c r="AD49" s="256"/>
      <c r="AE49" s="214"/>
      <c r="AF49" s="214"/>
      <c r="AG49" s="214"/>
      <c r="AH49" s="214"/>
      <c r="AI49" s="214"/>
      <c r="AJ49" s="214"/>
    </row>
    <row r="50" spans="4:36">
      <c r="D50" s="548" t="s">
        <v>772</v>
      </c>
      <c r="E50" s="567">
        <v>20</v>
      </c>
      <c r="F50" s="553">
        <v>20</v>
      </c>
      <c r="G50" s="567">
        <v>20</v>
      </c>
      <c r="H50" s="553">
        <v>20</v>
      </c>
      <c r="I50" s="554" t="s">
        <v>773</v>
      </c>
      <c r="J50" s="206"/>
      <c r="T50" s="214"/>
      <c r="U50" s="474"/>
      <c r="V50" s="564" t="s">
        <v>795</v>
      </c>
      <c r="W50" s="564">
        <v>176</v>
      </c>
      <c r="X50" s="564">
        <v>211</v>
      </c>
      <c r="Y50" s="564">
        <v>210</v>
      </c>
      <c r="Z50" s="564">
        <v>277</v>
      </c>
      <c r="AB50" s="214"/>
      <c r="AC50" s="214"/>
      <c r="AD50" s="256"/>
      <c r="AE50" s="214"/>
      <c r="AF50" s="214"/>
      <c r="AG50" s="214"/>
      <c r="AH50" s="214"/>
      <c r="AI50" s="214"/>
      <c r="AJ50" s="214"/>
    </row>
    <row r="51" spans="4:36">
      <c r="D51" s="548" t="s">
        <v>776</v>
      </c>
      <c r="E51" s="552">
        <v>58998</v>
      </c>
      <c r="F51" s="556">
        <v>42584</v>
      </c>
      <c r="G51" s="552">
        <v>90009</v>
      </c>
      <c r="H51" s="556">
        <v>73151</v>
      </c>
      <c r="I51" s="554" t="s">
        <v>806</v>
      </c>
      <c r="J51" s="206"/>
      <c r="T51" s="214"/>
      <c r="AB51" s="214"/>
      <c r="AC51" s="214"/>
      <c r="AD51" s="256"/>
      <c r="AE51" s="214"/>
      <c r="AF51" s="214"/>
      <c r="AG51" s="214"/>
      <c r="AH51" s="214"/>
      <c r="AI51" s="214"/>
      <c r="AJ51" s="214"/>
    </row>
    <row r="52" spans="4:36">
      <c r="D52" s="548" t="s">
        <v>778</v>
      </c>
      <c r="E52" s="552">
        <v>43000</v>
      </c>
      <c r="F52" s="556">
        <v>25000</v>
      </c>
      <c r="G52" s="552">
        <v>65000</v>
      </c>
      <c r="H52" s="556">
        <v>30000</v>
      </c>
      <c r="I52" s="558" t="s">
        <v>806</v>
      </c>
      <c r="J52" s="206"/>
      <c r="T52" s="214"/>
      <c r="AB52" s="228"/>
      <c r="AC52" s="228"/>
      <c r="AD52" s="257"/>
      <c r="AE52" s="228"/>
      <c r="AF52" s="228"/>
      <c r="AG52" s="228"/>
      <c r="AH52" s="228"/>
      <c r="AI52" s="228"/>
      <c r="AJ52" s="228"/>
    </row>
    <row r="53" spans="4:36">
      <c r="J53" s="206"/>
      <c r="T53" s="206"/>
      <c r="AB53" s="228"/>
      <c r="AC53" s="228"/>
      <c r="AD53" s="257"/>
      <c r="AE53" s="228"/>
      <c r="AF53" s="228"/>
      <c r="AG53" s="228"/>
      <c r="AH53" s="228"/>
      <c r="AI53" s="228"/>
      <c r="AJ53" s="228"/>
    </row>
    <row r="54" spans="4:36">
      <c r="D54" s="206"/>
      <c r="E54" s="206"/>
      <c r="F54" s="206"/>
      <c r="G54" s="206"/>
      <c r="H54" s="206"/>
      <c r="I54" s="206"/>
      <c r="J54" s="206"/>
      <c r="T54" s="214"/>
      <c r="AB54" s="228"/>
      <c r="AC54" s="228"/>
      <c r="AD54" s="257"/>
      <c r="AE54" s="260"/>
      <c r="AF54" s="256"/>
      <c r="AG54" s="256"/>
      <c r="AH54" s="228"/>
      <c r="AI54" s="228"/>
      <c r="AJ54" s="228"/>
    </row>
    <row r="55" spans="4:36">
      <c r="D55" s="568"/>
      <c r="E55" s="569" t="s">
        <v>362</v>
      </c>
      <c r="F55" s="570"/>
      <c r="G55" s="571"/>
      <c r="H55" s="569" t="s">
        <v>653</v>
      </c>
      <c r="I55" s="570"/>
      <c r="J55" s="571"/>
      <c r="T55" s="214"/>
      <c r="AB55" s="228"/>
      <c r="AC55" s="228"/>
      <c r="AD55" s="257"/>
      <c r="AE55" s="260"/>
      <c r="AF55" s="256"/>
      <c r="AG55" s="256"/>
      <c r="AH55" s="228"/>
      <c r="AI55" s="228"/>
      <c r="AJ55" s="228"/>
    </row>
    <row r="56" spans="4:36" ht="14.4">
      <c r="D56" s="327"/>
      <c r="E56" s="451" t="s">
        <v>783</v>
      </c>
      <c r="F56" s="451" t="s">
        <v>784</v>
      </c>
      <c r="G56" s="442"/>
      <c r="H56" s="451" t="s">
        <v>783</v>
      </c>
      <c r="I56" s="451" t="s">
        <v>784</v>
      </c>
      <c r="J56" s="451" t="s">
        <v>761</v>
      </c>
      <c r="K56" s="442"/>
      <c r="T56" s="214"/>
      <c r="AB56" s="228"/>
      <c r="AC56" s="228"/>
      <c r="AD56" s="257"/>
      <c r="AE56" s="260"/>
      <c r="AF56" s="256"/>
      <c r="AG56" s="256"/>
      <c r="AH56" s="228"/>
      <c r="AI56" s="228"/>
      <c r="AJ56" s="228"/>
    </row>
    <row r="57" spans="4:36">
      <c r="D57" s="548" t="s">
        <v>807</v>
      </c>
      <c r="E57" s="572">
        <v>73.2</v>
      </c>
      <c r="F57" s="572">
        <v>30.8</v>
      </c>
      <c r="G57" s="573" t="s">
        <v>808</v>
      </c>
      <c r="H57" s="572">
        <v>250</v>
      </c>
      <c r="I57" s="572">
        <v>105</v>
      </c>
      <c r="J57" s="572">
        <v>250</v>
      </c>
      <c r="K57" s="554" t="s">
        <v>809</v>
      </c>
      <c r="T57" s="143" t="s">
        <v>666</v>
      </c>
      <c r="U57" s="150"/>
      <c r="V57" s="206"/>
      <c r="W57" s="206"/>
      <c r="X57" s="206"/>
      <c r="Y57" s="207"/>
      <c r="Z57" s="207"/>
      <c r="AA57" s="208"/>
      <c r="AB57" s="209"/>
      <c r="AC57" s="208"/>
      <c r="AD57" s="251"/>
      <c r="AE57" s="252"/>
      <c r="AF57" s="253"/>
      <c r="AG57" s="254"/>
      <c r="AH57" s="206"/>
      <c r="AI57" s="206"/>
      <c r="AJ57" s="206"/>
    </row>
    <row r="58" spans="4:36">
      <c r="T58" s="143"/>
      <c r="U58" s="985" t="s">
        <v>81</v>
      </c>
      <c r="V58" s="980" t="s">
        <v>362</v>
      </c>
      <c r="W58" s="980"/>
      <c r="X58" s="981"/>
      <c r="Y58" s="862"/>
      <c r="Z58" s="980" t="s">
        <v>653</v>
      </c>
      <c r="AA58" s="981"/>
      <c r="AB58" s="863"/>
      <c r="AC58" s="206"/>
      <c r="AD58" s="206"/>
      <c r="AE58" s="206"/>
      <c r="AF58" s="206"/>
      <c r="AG58" s="206"/>
      <c r="AH58" s="206"/>
      <c r="AI58" s="206"/>
      <c r="AJ58" s="206"/>
    </row>
    <row r="59" spans="4:36" ht="15" customHeight="1">
      <c r="T59" s="143"/>
      <c r="U59" s="986"/>
      <c r="V59" s="977" t="s">
        <v>753</v>
      </c>
      <c r="W59" s="982"/>
      <c r="X59" s="977" t="s">
        <v>754</v>
      </c>
      <c r="Y59" s="844"/>
      <c r="Z59" s="978" t="s">
        <v>625</v>
      </c>
      <c r="AA59" s="978" t="s">
        <v>626</v>
      </c>
      <c r="AB59" s="863"/>
      <c r="AC59" s="206"/>
      <c r="AD59" s="206"/>
      <c r="AE59" s="206"/>
      <c r="AF59" s="206"/>
      <c r="AG59" s="206"/>
      <c r="AH59" s="206"/>
      <c r="AI59" s="206"/>
      <c r="AJ59" s="206"/>
    </row>
    <row r="60" spans="4:36" ht="14.25" customHeight="1">
      <c r="D60" s="574" t="s">
        <v>84</v>
      </c>
      <c r="E60" s="440" t="s">
        <v>653</v>
      </c>
      <c r="F60" s="319"/>
      <c r="G60" s="319"/>
      <c r="H60" s="575"/>
      <c r="T60" s="202"/>
      <c r="U60" s="987"/>
      <c r="V60" s="451" t="s">
        <v>625</v>
      </c>
      <c r="W60" s="451" t="s">
        <v>626</v>
      </c>
      <c r="X60" s="451" t="s">
        <v>625</v>
      </c>
      <c r="Y60" s="451" t="s">
        <v>626</v>
      </c>
      <c r="Z60" s="978"/>
      <c r="AA60" s="978"/>
      <c r="AB60" s="844"/>
      <c r="AC60" s="214"/>
      <c r="AD60" s="214"/>
      <c r="AE60" s="214"/>
      <c r="AF60" s="214"/>
      <c r="AG60" s="214"/>
      <c r="AH60" s="214"/>
      <c r="AI60" s="214"/>
      <c r="AJ60" s="214"/>
    </row>
    <row r="61" spans="4:36" ht="14.25" customHeight="1">
      <c r="D61" s="320"/>
      <c r="E61" s="516" t="s">
        <v>810</v>
      </c>
      <c r="F61" s="576" t="s">
        <v>811</v>
      </c>
      <c r="G61" s="516" t="s">
        <v>765</v>
      </c>
      <c r="H61" s="501"/>
      <c r="T61" s="202"/>
      <c r="U61" s="548" t="s">
        <v>812</v>
      </c>
      <c r="V61" s="467">
        <f t="shared" ref="V61:AA61" si="2">E26*E24</f>
        <v>1563.3</v>
      </c>
      <c r="W61" s="467">
        <f t="shared" si="2"/>
        <v>1388.8</v>
      </c>
      <c r="X61" s="467">
        <f t="shared" si="2"/>
        <v>890</v>
      </c>
      <c r="Y61" s="467">
        <f t="shared" si="2"/>
        <v>700</v>
      </c>
      <c r="Z61" s="467">
        <f t="shared" si="2"/>
        <v>13096</v>
      </c>
      <c r="AA61" s="467">
        <f t="shared" si="2"/>
        <v>9449.4500000000007</v>
      </c>
      <c r="AB61" s="558" t="s">
        <v>813</v>
      </c>
      <c r="AC61" s="214"/>
      <c r="AD61" s="214"/>
      <c r="AE61" s="214"/>
      <c r="AF61" s="214"/>
      <c r="AG61" s="214"/>
      <c r="AH61" s="214"/>
      <c r="AI61" s="214"/>
      <c r="AJ61" s="214"/>
    </row>
    <row r="62" spans="4:36">
      <c r="D62" s="269"/>
      <c r="E62" s="329"/>
      <c r="F62" s="330"/>
      <c r="G62" s="329"/>
      <c r="H62" s="314"/>
      <c r="T62" s="231"/>
      <c r="U62" s="548" t="s">
        <v>814</v>
      </c>
      <c r="V62" s="577">
        <f>AC28*E57/E22</f>
        <v>0</v>
      </c>
      <c r="W62" s="577">
        <f>AC28*E57/F22</f>
        <v>0</v>
      </c>
      <c r="X62" s="577">
        <f>AD28*E57/G22</f>
        <v>0</v>
      </c>
      <c r="Y62" s="577">
        <f>AD28*E57/H22</f>
        <v>0</v>
      </c>
      <c r="Z62" s="578">
        <f>AE28*H57/I22</f>
        <v>0</v>
      </c>
      <c r="AA62" s="578">
        <f>AE28*H57/J22</f>
        <v>0</v>
      </c>
      <c r="AB62" s="558" t="s">
        <v>813</v>
      </c>
      <c r="AC62" s="231"/>
      <c r="AD62" s="231"/>
      <c r="AE62" s="231"/>
      <c r="AF62" s="231"/>
      <c r="AG62" s="231"/>
      <c r="AH62" s="231"/>
      <c r="AI62" s="231"/>
      <c r="AJ62" s="231"/>
    </row>
    <row r="63" spans="4:36">
      <c r="D63" s="270"/>
      <c r="E63" s="328"/>
      <c r="F63" s="331"/>
      <c r="G63" s="328"/>
      <c r="H63" s="317"/>
      <c r="T63" s="231"/>
      <c r="U63" s="548" t="s">
        <v>815</v>
      </c>
      <c r="V63" s="579">
        <f>AC25-(AC28/E23)</f>
        <v>0</v>
      </c>
      <c r="W63" s="579">
        <f>AC25-(AC28/F23)</f>
        <v>0</v>
      </c>
      <c r="X63" s="579">
        <f>AD25-(AD28/G23)</f>
        <v>0</v>
      </c>
      <c r="Y63" s="579">
        <f>AD25-(AD28/H23)</f>
        <v>0</v>
      </c>
      <c r="Z63" s="579">
        <f>AF25-(AF28/I23)</f>
        <v>0</v>
      </c>
      <c r="AA63" s="579">
        <f>AF25-(AF28/J23)</f>
        <v>0</v>
      </c>
      <c r="AB63" s="573" t="s">
        <v>775</v>
      </c>
      <c r="AC63" s="231"/>
      <c r="AD63" s="231"/>
      <c r="AE63" s="231"/>
      <c r="AF63" s="231"/>
      <c r="AG63" s="231"/>
      <c r="AH63" s="231"/>
      <c r="AI63" s="231"/>
      <c r="AJ63" s="231"/>
    </row>
    <row r="64" spans="4:36">
      <c r="D64" s="548" t="s">
        <v>805</v>
      </c>
      <c r="E64" s="549">
        <v>0.2</v>
      </c>
      <c r="F64" s="549">
        <v>0.42</v>
      </c>
      <c r="G64" s="550">
        <v>0.6</v>
      </c>
      <c r="H64" s="551"/>
      <c r="T64" s="231"/>
      <c r="U64" s="548" t="s">
        <v>816</v>
      </c>
      <c r="V64" s="577">
        <f t="shared" ref="V64:AA64" si="3">E27*V63</f>
        <v>0</v>
      </c>
      <c r="W64" s="577">
        <f t="shared" si="3"/>
        <v>0</v>
      </c>
      <c r="X64" s="577">
        <f t="shared" si="3"/>
        <v>0</v>
      </c>
      <c r="Y64" s="577">
        <f t="shared" si="3"/>
        <v>0</v>
      </c>
      <c r="Z64" s="577">
        <f t="shared" si="3"/>
        <v>0</v>
      </c>
      <c r="AA64" s="577">
        <f t="shared" si="3"/>
        <v>0</v>
      </c>
      <c r="AB64" s="558" t="s">
        <v>813</v>
      </c>
      <c r="AC64" s="231"/>
      <c r="AD64" s="231"/>
      <c r="AE64" s="231"/>
      <c r="AF64" s="231"/>
      <c r="AG64" s="231"/>
      <c r="AH64" s="231"/>
      <c r="AI64" s="231"/>
      <c r="AJ64" s="231"/>
    </row>
    <row r="65" spans="4:36">
      <c r="D65" s="548" t="s">
        <v>767</v>
      </c>
      <c r="E65" s="567">
        <v>114</v>
      </c>
      <c r="F65" s="567">
        <v>167</v>
      </c>
      <c r="G65" s="553">
        <v>175</v>
      </c>
      <c r="H65" s="554" t="s">
        <v>768</v>
      </c>
      <c r="T65" s="231"/>
      <c r="U65" s="548" t="s">
        <v>817</v>
      </c>
      <c r="V65" s="577">
        <f t="shared" ref="V65:AA65" si="4">V62+V64+V61</f>
        <v>1563.3</v>
      </c>
      <c r="W65" s="577">
        <f t="shared" si="4"/>
        <v>1388.8</v>
      </c>
      <c r="X65" s="577">
        <f t="shared" si="4"/>
        <v>890</v>
      </c>
      <c r="Y65" s="577">
        <f t="shared" si="4"/>
        <v>700</v>
      </c>
      <c r="Z65" s="577">
        <f t="shared" si="4"/>
        <v>13096</v>
      </c>
      <c r="AA65" s="577">
        <f t="shared" si="4"/>
        <v>9449.4500000000007</v>
      </c>
      <c r="AB65" s="558" t="s">
        <v>813</v>
      </c>
      <c r="AC65" s="231"/>
      <c r="AD65" s="231"/>
      <c r="AE65" s="231"/>
      <c r="AF65" s="231"/>
      <c r="AG65" s="231"/>
      <c r="AH65" s="231"/>
      <c r="AI65" s="231"/>
      <c r="AJ65" s="231"/>
    </row>
    <row r="66" spans="4:36" ht="14.4">
      <c r="D66" s="548" t="s">
        <v>769</v>
      </c>
      <c r="E66" s="567">
        <v>1</v>
      </c>
      <c r="F66" s="567">
        <v>1</v>
      </c>
      <c r="G66" s="553">
        <v>1</v>
      </c>
      <c r="H66" s="554"/>
      <c r="T66" s="214"/>
      <c r="U66" s="258"/>
      <c r="V66" s="259"/>
      <c r="W66"/>
      <c r="X66" s="259"/>
      <c r="Y66" s="5"/>
      <c r="Z66" s="197"/>
      <c r="AA66" s="259"/>
      <c r="AB66" s="211"/>
      <c r="AC66" s="197"/>
      <c r="AD66" s="257"/>
      <c r="AE66" s="260"/>
      <c r="AF66" s="256"/>
      <c r="AG66" s="256"/>
      <c r="AH66" s="228"/>
      <c r="AI66" s="228"/>
      <c r="AJ66" s="228"/>
    </row>
    <row r="67" spans="4:36" ht="14.4">
      <c r="D67" s="548" t="s">
        <v>772</v>
      </c>
      <c r="E67" s="567">
        <v>15</v>
      </c>
      <c r="F67" s="567">
        <v>15</v>
      </c>
      <c r="G67" s="553">
        <v>15</v>
      </c>
      <c r="H67" s="554" t="s">
        <v>773</v>
      </c>
      <c r="S67" s="6" t="s">
        <v>818</v>
      </c>
      <c r="T67" s="231"/>
      <c r="U67" s="985" t="s">
        <v>782</v>
      </c>
      <c r="V67" s="977" t="s">
        <v>362</v>
      </c>
      <c r="W67" s="982"/>
      <c r="X67" s="844"/>
      <c r="Y67" s="844"/>
      <c r="Z67" s="844"/>
      <c r="AA67" s="844"/>
      <c r="AB67" s="977" t="s">
        <v>653</v>
      </c>
      <c r="AC67" s="982"/>
      <c r="AD67" s="844"/>
      <c r="AE67" s="844"/>
      <c r="AF67" s="844"/>
      <c r="AG67" s="844"/>
      <c r="AH67" s="863"/>
      <c r="AI67" s="231"/>
      <c r="AJ67" s="231"/>
    </row>
    <row r="68" spans="4:36" ht="14.4">
      <c r="D68" s="548" t="s">
        <v>776</v>
      </c>
      <c r="E68" s="552">
        <v>35000</v>
      </c>
      <c r="F68" s="552">
        <v>18000</v>
      </c>
      <c r="G68" s="556">
        <v>25000</v>
      </c>
      <c r="H68" s="554" t="s">
        <v>806</v>
      </c>
      <c r="T68" s="231"/>
      <c r="U68" s="986"/>
      <c r="V68" s="855" t="s">
        <v>625</v>
      </c>
      <c r="W68" s="844"/>
      <c r="X68" s="844"/>
      <c r="Y68" s="855" t="s">
        <v>626</v>
      </c>
      <c r="Z68" s="844"/>
      <c r="AA68" s="844"/>
      <c r="AB68" s="855" t="s">
        <v>625</v>
      </c>
      <c r="AC68" s="844"/>
      <c r="AD68" s="844"/>
      <c r="AE68" s="855" t="s">
        <v>626</v>
      </c>
      <c r="AF68" s="844"/>
      <c r="AG68" s="844"/>
      <c r="AH68" s="863"/>
      <c r="AI68" s="231"/>
      <c r="AJ68" s="231"/>
    </row>
    <row r="69" spans="4:36">
      <c r="D69" s="548" t="s">
        <v>778</v>
      </c>
      <c r="E69" s="552">
        <v>70000</v>
      </c>
      <c r="F69" s="552">
        <v>57000</v>
      </c>
      <c r="G69" s="556">
        <v>50000</v>
      </c>
      <c r="H69" s="558" t="s">
        <v>806</v>
      </c>
      <c r="T69" s="231"/>
      <c r="U69" s="987"/>
      <c r="V69" s="451" t="s">
        <v>783</v>
      </c>
      <c r="W69" s="451" t="s">
        <v>784</v>
      </c>
      <c r="X69" s="451" t="s">
        <v>37</v>
      </c>
      <c r="Y69" s="451" t="s">
        <v>783</v>
      </c>
      <c r="Z69" s="451" t="s">
        <v>784</v>
      </c>
      <c r="AA69" s="451" t="s">
        <v>37</v>
      </c>
      <c r="AB69" s="451" t="s">
        <v>783</v>
      </c>
      <c r="AC69" s="451" t="s">
        <v>784</v>
      </c>
      <c r="AD69" s="451" t="s">
        <v>37</v>
      </c>
      <c r="AE69" s="451" t="s">
        <v>783</v>
      </c>
      <c r="AF69" s="451" t="s">
        <v>784</v>
      </c>
      <c r="AG69" s="451" t="s">
        <v>37</v>
      </c>
      <c r="AH69" s="844"/>
      <c r="AI69" s="231"/>
      <c r="AJ69" s="231"/>
    </row>
    <row r="70" spans="4:36">
      <c r="D70" s="6" t="s">
        <v>819</v>
      </c>
      <c r="T70" s="231"/>
      <c r="U70" s="548" t="s">
        <v>812</v>
      </c>
      <c r="V70" s="943">
        <f>E38*E36</f>
        <v>0</v>
      </c>
      <c r="W70" s="989"/>
      <c r="X70" s="990"/>
      <c r="Y70" s="943">
        <f>G38*G36</f>
        <v>0</v>
      </c>
      <c r="Z70" s="989"/>
      <c r="AA70" s="990"/>
      <c r="AB70" s="943">
        <f>I38*I36</f>
        <v>0</v>
      </c>
      <c r="AC70" s="989"/>
      <c r="AD70" s="990"/>
      <c r="AE70" s="943">
        <f>K38*K36</f>
        <v>0</v>
      </c>
      <c r="AF70" s="989"/>
      <c r="AG70" s="990"/>
      <c r="AH70" s="558" t="s">
        <v>813</v>
      </c>
      <c r="AI70" s="231"/>
      <c r="AJ70" s="231"/>
    </row>
    <row r="71" spans="4:36">
      <c r="D71" s="6" t="s">
        <v>820</v>
      </c>
      <c r="T71" s="231"/>
      <c r="U71" s="548" t="s">
        <v>814</v>
      </c>
      <c r="V71" s="467">
        <f>(AF28*E57/E34*E33)</f>
        <v>0</v>
      </c>
      <c r="W71" s="467">
        <f>AF28*F57/F34*F33</f>
        <v>0</v>
      </c>
      <c r="X71" s="467">
        <f>V71+W71</f>
        <v>0</v>
      </c>
      <c r="Y71" s="467">
        <f>(AF28*E57/G34*G33)</f>
        <v>0</v>
      </c>
      <c r="Z71" s="467">
        <f>(AF28*F57/H34*H33)</f>
        <v>0</v>
      </c>
      <c r="AA71" s="467">
        <f>Y71+Z71</f>
        <v>0</v>
      </c>
      <c r="AB71" s="467">
        <f>(AH28*H57/I34*I33)</f>
        <v>0</v>
      </c>
      <c r="AC71" s="467">
        <f>(AH28*I57/J34*J33)</f>
        <v>0</v>
      </c>
      <c r="AD71" s="467">
        <f>AB71+AC71</f>
        <v>0</v>
      </c>
      <c r="AE71" s="467">
        <f>AH28*H57/K34*K33</f>
        <v>0</v>
      </c>
      <c r="AF71" s="467">
        <f>AH28*I57/L34*L33</f>
        <v>0</v>
      </c>
      <c r="AG71" s="467">
        <f>AE71+AF71</f>
        <v>0</v>
      </c>
      <c r="AH71" s="558" t="s">
        <v>813</v>
      </c>
      <c r="AI71" s="231"/>
      <c r="AJ71" s="231"/>
    </row>
    <row r="72" spans="4:36">
      <c r="T72" s="231"/>
      <c r="U72" s="548" t="s">
        <v>815</v>
      </c>
      <c r="V72" s="467">
        <f>((AF25-AF28/E35)*E33)</f>
        <v>0</v>
      </c>
      <c r="W72" s="467">
        <f>(AF25-AF28/F35)*F33</f>
        <v>0</v>
      </c>
      <c r="X72" s="467">
        <f>V72+W72</f>
        <v>0</v>
      </c>
      <c r="Y72" s="467">
        <f>((AF25-AF28/G35)*G33)</f>
        <v>0</v>
      </c>
      <c r="Z72" s="467">
        <f>((AF25-AF28/H35)*H33)</f>
        <v>0</v>
      </c>
      <c r="AA72" s="467">
        <f>Y72+Z72</f>
        <v>0</v>
      </c>
      <c r="AB72" s="467">
        <f>((AH25-AH28/I35)*I33)</f>
        <v>0</v>
      </c>
      <c r="AC72" s="467">
        <f>((AH25-AH28/J35)*J33)</f>
        <v>0</v>
      </c>
      <c r="AD72" s="467">
        <f>AB72+AC72</f>
        <v>0</v>
      </c>
      <c r="AE72" s="467">
        <f>(AH25-AH28/K35)*K33</f>
        <v>0</v>
      </c>
      <c r="AF72" s="467">
        <f>(AH25-AH28/L35)*L33</f>
        <v>0</v>
      </c>
      <c r="AG72" s="467">
        <f>AE72+AF72</f>
        <v>0</v>
      </c>
      <c r="AH72" s="573" t="s">
        <v>775</v>
      </c>
      <c r="AI72" s="231"/>
      <c r="AJ72" s="231"/>
    </row>
    <row r="73" spans="4:36">
      <c r="T73" s="231"/>
      <c r="U73" s="548" t="s">
        <v>816</v>
      </c>
      <c r="V73" s="467">
        <f>E40*V72</f>
        <v>0</v>
      </c>
      <c r="W73" s="467">
        <f>F40*W72</f>
        <v>0</v>
      </c>
      <c r="X73" s="467">
        <f>V73+W73</f>
        <v>0</v>
      </c>
      <c r="Y73" s="467">
        <f>G40*Y72</f>
        <v>0</v>
      </c>
      <c r="Z73" s="467">
        <f>H40*Z72</f>
        <v>0</v>
      </c>
      <c r="AA73" s="467">
        <f>Y73+Z73</f>
        <v>0</v>
      </c>
      <c r="AB73" s="467">
        <f>I40*AB72</f>
        <v>0</v>
      </c>
      <c r="AC73" s="467">
        <f>J40*AC72</f>
        <v>0</v>
      </c>
      <c r="AD73" s="467">
        <f>AB73+AC73</f>
        <v>0</v>
      </c>
      <c r="AE73" s="467">
        <f>K40*AE72</f>
        <v>0</v>
      </c>
      <c r="AF73" s="467">
        <f>L40*AF72</f>
        <v>0</v>
      </c>
      <c r="AG73" s="467">
        <f>AE73+AF73</f>
        <v>0</v>
      </c>
      <c r="AH73" s="558" t="s">
        <v>813</v>
      </c>
      <c r="AI73" s="231"/>
      <c r="AJ73" s="231"/>
    </row>
    <row r="74" spans="4:36">
      <c r="T74" s="231"/>
      <c r="U74" s="548" t="s">
        <v>817</v>
      </c>
      <c r="V74" s="577">
        <f>V70+V71+V73</f>
        <v>0</v>
      </c>
      <c r="W74" s="577">
        <f>V70+W71+W73</f>
        <v>0</v>
      </c>
      <c r="X74" s="577">
        <f>V70+X71+X73</f>
        <v>0</v>
      </c>
      <c r="Y74" s="577">
        <f>Y70+Y71+Y73</f>
        <v>0</v>
      </c>
      <c r="Z74" s="577">
        <f>Y70+Z71+Z73</f>
        <v>0</v>
      </c>
      <c r="AA74" s="577">
        <f>Y70+AA71+AA73</f>
        <v>0</v>
      </c>
      <c r="AB74" s="577">
        <f>AB70+AB71+AB73</f>
        <v>0</v>
      </c>
      <c r="AC74" s="577">
        <f>AB70+AC71+AC73</f>
        <v>0</v>
      </c>
      <c r="AD74" s="577">
        <f>AB70+AD71+AD73</f>
        <v>0</v>
      </c>
      <c r="AE74" s="577">
        <f>AE70+AE71+AE73</f>
        <v>0</v>
      </c>
      <c r="AF74" s="577">
        <f>AE70+AF71+AF73</f>
        <v>0</v>
      </c>
      <c r="AG74" s="577">
        <f>AE70+AG71+AG73</f>
        <v>0</v>
      </c>
      <c r="AH74" s="558" t="s">
        <v>813</v>
      </c>
      <c r="AI74" s="231"/>
      <c r="AJ74" s="231"/>
    </row>
    <row r="75" spans="4:36">
      <c r="T75" s="262"/>
      <c r="U75" s="262"/>
      <c r="V75" s="262"/>
      <c r="W75" s="262"/>
      <c r="X75" s="262"/>
      <c r="Y75" s="262"/>
      <c r="Z75" s="262"/>
      <c r="AA75" s="262"/>
      <c r="AB75" s="262"/>
      <c r="AC75" s="262"/>
      <c r="AD75" s="262"/>
      <c r="AE75" s="262"/>
      <c r="AF75" s="262"/>
      <c r="AG75" s="262"/>
      <c r="AH75" s="263"/>
      <c r="AI75" s="231"/>
      <c r="AJ75" s="231"/>
    </row>
    <row r="76" spans="4:36" ht="14.4">
      <c r="S76" s="6" t="s">
        <v>821</v>
      </c>
      <c r="T76" s="143"/>
      <c r="U76" s="985" t="s">
        <v>782</v>
      </c>
      <c r="V76" s="977" t="s">
        <v>362</v>
      </c>
      <c r="W76" s="982"/>
      <c r="X76" s="844"/>
      <c r="Y76" s="844"/>
      <c r="Z76" s="844"/>
      <c r="AA76" s="844"/>
      <c r="AB76" s="977" t="s">
        <v>653</v>
      </c>
      <c r="AC76" s="982"/>
      <c r="AD76" s="844"/>
      <c r="AE76" s="844"/>
      <c r="AF76" s="844"/>
      <c r="AG76" s="844"/>
      <c r="AH76" s="863"/>
      <c r="AI76" s="206"/>
      <c r="AJ76" s="206"/>
    </row>
    <row r="77" spans="4:36" ht="14.4">
      <c r="T77" s="143"/>
      <c r="U77" s="986"/>
      <c r="V77" s="855" t="s">
        <v>625</v>
      </c>
      <c r="W77" s="844"/>
      <c r="X77" s="844"/>
      <c r="Y77" s="855" t="s">
        <v>626</v>
      </c>
      <c r="Z77" s="844"/>
      <c r="AA77" s="844"/>
      <c r="AB77" s="855" t="s">
        <v>625</v>
      </c>
      <c r="AC77" s="844"/>
      <c r="AD77" s="844"/>
      <c r="AE77" s="855" t="s">
        <v>626</v>
      </c>
      <c r="AF77" s="844"/>
      <c r="AG77" s="844"/>
      <c r="AH77" s="863"/>
      <c r="AI77" s="206"/>
      <c r="AJ77" s="206"/>
    </row>
    <row r="78" spans="4:36">
      <c r="T78" s="202"/>
      <c r="U78" s="987"/>
      <c r="V78" s="451" t="s">
        <v>783</v>
      </c>
      <c r="W78" s="451" t="s">
        <v>784</v>
      </c>
      <c r="X78" s="451" t="s">
        <v>37</v>
      </c>
      <c r="Y78" s="451" t="s">
        <v>783</v>
      </c>
      <c r="Z78" s="451" t="s">
        <v>784</v>
      </c>
      <c r="AA78" s="451" t="s">
        <v>37</v>
      </c>
      <c r="AB78" s="451" t="s">
        <v>783</v>
      </c>
      <c r="AC78" s="451" t="s">
        <v>784</v>
      </c>
      <c r="AD78" s="451" t="s">
        <v>37</v>
      </c>
      <c r="AE78" s="451" t="s">
        <v>783</v>
      </c>
      <c r="AF78" s="451" t="s">
        <v>784</v>
      </c>
      <c r="AG78" s="451" t="s">
        <v>37</v>
      </c>
      <c r="AH78" s="844"/>
      <c r="AI78" s="214"/>
      <c r="AJ78" s="214"/>
    </row>
    <row r="79" spans="4:36">
      <c r="T79" s="202"/>
      <c r="U79" s="548" t="s">
        <v>812</v>
      </c>
      <c r="V79" s="943">
        <f>E39*E36</f>
        <v>0</v>
      </c>
      <c r="W79" s="989"/>
      <c r="X79" s="990"/>
      <c r="Y79" s="943">
        <f>G39*G36</f>
        <v>0</v>
      </c>
      <c r="Z79" s="989"/>
      <c r="AA79" s="990"/>
      <c r="AB79" s="943">
        <f>I38*I36</f>
        <v>0</v>
      </c>
      <c r="AC79" s="989"/>
      <c r="AD79" s="990"/>
      <c r="AE79" s="943">
        <f>K39*K36</f>
        <v>0</v>
      </c>
      <c r="AF79" s="989"/>
      <c r="AG79" s="990"/>
      <c r="AH79" s="558" t="s">
        <v>813</v>
      </c>
      <c r="AI79" s="214"/>
      <c r="AJ79" s="214"/>
    </row>
    <row r="80" spans="4:36">
      <c r="T80" s="231"/>
      <c r="U80" s="548" t="s">
        <v>814</v>
      </c>
      <c r="V80" s="467">
        <f>(AG28*E57/E34*E33)</f>
        <v>0</v>
      </c>
      <c r="W80" s="467">
        <f>AG28*F57/F34*F33</f>
        <v>0</v>
      </c>
      <c r="X80" s="467">
        <f>V80+W80</f>
        <v>0</v>
      </c>
      <c r="Y80" s="467">
        <f>(AG28*E57/G34*G33)</f>
        <v>0</v>
      </c>
      <c r="Z80" s="467">
        <f>(AG28*F57/H34*H33)</f>
        <v>0</v>
      </c>
      <c r="AA80" s="467">
        <f>Y80+Z80</f>
        <v>0</v>
      </c>
      <c r="AB80" s="467">
        <f>(AI28*H57/I34*I33)</f>
        <v>0</v>
      </c>
      <c r="AC80" s="467">
        <f>(AI28*I57/J34*J33)</f>
        <v>0</v>
      </c>
      <c r="AD80" s="467">
        <f>AB80+AC80</f>
        <v>0</v>
      </c>
      <c r="AE80" s="467">
        <f>AI28*H57/K34*K33</f>
        <v>0</v>
      </c>
      <c r="AF80" s="467">
        <f>AI28*I57/L34*L33</f>
        <v>0</v>
      </c>
      <c r="AG80" s="467">
        <f>AE80+AF80</f>
        <v>0</v>
      </c>
      <c r="AH80" s="558" t="s">
        <v>813</v>
      </c>
      <c r="AI80" s="231"/>
      <c r="AJ80" s="231"/>
    </row>
    <row r="81" spans="20:36" ht="14.25" customHeight="1">
      <c r="T81" s="231"/>
      <c r="U81" s="548" t="s">
        <v>815</v>
      </c>
      <c r="V81" s="467">
        <f>((AG25-AG28/E35)*E33)</f>
        <v>0</v>
      </c>
      <c r="W81" s="467">
        <f>(AG25-AG28/F35)*F33</f>
        <v>0</v>
      </c>
      <c r="X81" s="467">
        <f>V81+W81</f>
        <v>0</v>
      </c>
      <c r="Y81" s="467">
        <f>((AG25-AG28/G35)*G33)</f>
        <v>0</v>
      </c>
      <c r="Z81" s="467">
        <f>((AG25-AG28/H35)*H33)</f>
        <v>0</v>
      </c>
      <c r="AA81" s="467">
        <f>Y81+Z81</f>
        <v>0</v>
      </c>
      <c r="AB81" s="467">
        <f>((AI25-AI28/I35)*I33)</f>
        <v>0</v>
      </c>
      <c r="AC81" s="467">
        <f>((AI25-AI28/J35)*J33)</f>
        <v>0</v>
      </c>
      <c r="AD81" s="467">
        <f>AB81+AC81</f>
        <v>0</v>
      </c>
      <c r="AE81" s="467">
        <f>(AI25-AI28/K35)*K33</f>
        <v>0</v>
      </c>
      <c r="AF81" s="467">
        <f>(AI25-AI28/L35)*L33</f>
        <v>0</v>
      </c>
      <c r="AG81" s="467">
        <f>AE81+AF81</f>
        <v>0</v>
      </c>
      <c r="AH81" s="573" t="s">
        <v>775</v>
      </c>
      <c r="AI81" s="231"/>
      <c r="AJ81" s="231"/>
    </row>
    <row r="82" spans="20:36">
      <c r="T82" s="231"/>
      <c r="U82" s="548" t="s">
        <v>816</v>
      </c>
      <c r="V82" s="467">
        <f>E41*V81</f>
        <v>0</v>
      </c>
      <c r="W82" s="467">
        <f>F41*W81</f>
        <v>0</v>
      </c>
      <c r="X82" s="467">
        <f>V82+W82</f>
        <v>0</v>
      </c>
      <c r="Y82" s="467">
        <f>G41*Y81</f>
        <v>0</v>
      </c>
      <c r="Z82" s="467">
        <f>H41*Z81</f>
        <v>0</v>
      </c>
      <c r="AA82" s="467">
        <f>Y82+Z82</f>
        <v>0</v>
      </c>
      <c r="AB82" s="467">
        <f>I41*AB81</f>
        <v>0</v>
      </c>
      <c r="AC82" s="467">
        <f>J41*AC81</f>
        <v>0</v>
      </c>
      <c r="AD82" s="467">
        <f>AB82+AC82</f>
        <v>0</v>
      </c>
      <c r="AE82" s="467">
        <f>K41*AE81</f>
        <v>0</v>
      </c>
      <c r="AF82" s="467">
        <f>L41*AF81</f>
        <v>0</v>
      </c>
      <c r="AG82" s="467">
        <f>AE82+AF82</f>
        <v>0</v>
      </c>
      <c r="AH82" s="558" t="s">
        <v>813</v>
      </c>
      <c r="AI82" s="231"/>
      <c r="AJ82" s="231"/>
    </row>
    <row r="83" spans="20:36">
      <c r="T83" s="231"/>
      <c r="U83" s="548" t="s">
        <v>817</v>
      </c>
      <c r="V83" s="577">
        <f>V79+V80+V82</f>
        <v>0</v>
      </c>
      <c r="W83" s="577">
        <f>V79+W80+W82</f>
        <v>0</v>
      </c>
      <c r="X83" s="577">
        <f>V79+X80+X82</f>
        <v>0</v>
      </c>
      <c r="Y83" s="577">
        <f>Y79+Y80+Y82</f>
        <v>0</v>
      </c>
      <c r="Z83" s="577">
        <f>Y79+Z80+Z82</f>
        <v>0</v>
      </c>
      <c r="AA83" s="577">
        <f>Y79+AA80+AA82</f>
        <v>0</v>
      </c>
      <c r="AB83" s="577">
        <f>AB79+AB80+AB82</f>
        <v>0</v>
      </c>
      <c r="AC83" s="577">
        <f>AB79+AC80+AC82</f>
        <v>0</v>
      </c>
      <c r="AD83" s="577">
        <f>AB79+AD80+AD82</f>
        <v>0</v>
      </c>
      <c r="AE83" s="577">
        <f>AE79+AE80+AE82</f>
        <v>0</v>
      </c>
      <c r="AF83" s="577">
        <f>AE79+AF80+AF82</f>
        <v>0</v>
      </c>
      <c r="AG83" s="577">
        <f>AE79+AG80+AG82</f>
        <v>0</v>
      </c>
      <c r="AH83" s="558" t="s">
        <v>813</v>
      </c>
      <c r="AI83" s="231"/>
      <c r="AJ83" s="231"/>
    </row>
    <row r="84" spans="20:36">
      <c r="T84" s="231"/>
      <c r="AG84" s="231"/>
      <c r="AH84" s="231"/>
      <c r="AI84" s="231"/>
      <c r="AJ84" s="231"/>
    </row>
    <row r="85" spans="20:36">
      <c r="T85" s="231"/>
      <c r="AG85" s="231"/>
      <c r="AH85" s="231"/>
      <c r="AI85" s="231"/>
      <c r="AJ85" s="231"/>
    </row>
    <row r="86" spans="20:36">
      <c r="AG86" s="231"/>
      <c r="AH86" s="231"/>
      <c r="AI86" s="231"/>
      <c r="AJ86" s="231"/>
    </row>
    <row r="87" spans="20:36">
      <c r="T87" s="231"/>
      <c r="AG87" s="231"/>
      <c r="AH87" s="231"/>
      <c r="AI87" s="231"/>
      <c r="AJ87" s="231"/>
    </row>
    <row r="88" spans="20:36">
      <c r="T88" s="231"/>
      <c r="AG88" s="231"/>
      <c r="AH88" s="231"/>
      <c r="AI88" s="231"/>
      <c r="AJ88" s="231"/>
    </row>
    <row r="89" spans="20:36">
      <c r="T89" s="231"/>
      <c r="U89" s="985" t="s">
        <v>804</v>
      </c>
      <c r="V89" s="980" t="s">
        <v>653</v>
      </c>
      <c r="W89" s="980"/>
      <c r="X89" s="981"/>
      <c r="Y89" s="862"/>
      <c r="Z89" s="863"/>
      <c r="AA89" s="206"/>
      <c r="AB89" s="206"/>
      <c r="AC89" s="206"/>
      <c r="AD89" s="206"/>
      <c r="AE89" s="206"/>
      <c r="AF89" s="206"/>
      <c r="AG89" s="231"/>
      <c r="AH89" s="231"/>
      <c r="AI89" s="231"/>
      <c r="AJ89" s="231"/>
    </row>
    <row r="90" spans="20:36" ht="14.4">
      <c r="T90" s="231"/>
      <c r="U90" s="986"/>
      <c r="V90" s="977" t="s">
        <v>759</v>
      </c>
      <c r="W90" s="844"/>
      <c r="X90" s="977" t="s">
        <v>760</v>
      </c>
      <c r="Y90" s="844"/>
      <c r="Z90" s="863"/>
      <c r="AA90" s="206"/>
      <c r="AB90" s="206"/>
      <c r="AC90" s="206"/>
      <c r="AD90" s="206"/>
      <c r="AE90" s="206"/>
      <c r="AF90" s="206"/>
      <c r="AG90" s="231"/>
      <c r="AH90" s="231"/>
      <c r="AI90" s="231"/>
      <c r="AJ90" s="231"/>
    </row>
    <row r="91" spans="20:36">
      <c r="T91" s="231"/>
      <c r="U91" s="987"/>
      <c r="V91" s="451" t="s">
        <v>625</v>
      </c>
      <c r="W91" s="451" t="s">
        <v>626</v>
      </c>
      <c r="X91" s="451" t="s">
        <v>625</v>
      </c>
      <c r="Y91" s="451" t="s">
        <v>626</v>
      </c>
      <c r="Z91" s="844"/>
      <c r="AA91" s="206"/>
      <c r="AB91" s="206"/>
      <c r="AC91" s="214"/>
      <c r="AD91" s="214"/>
      <c r="AE91" s="214"/>
      <c r="AF91" s="214"/>
      <c r="AG91" s="231"/>
      <c r="AH91" s="231"/>
      <c r="AI91" s="231"/>
      <c r="AJ91" s="231"/>
    </row>
    <row r="92" spans="20:36">
      <c r="T92" s="231"/>
      <c r="U92" s="548" t="s">
        <v>812</v>
      </c>
      <c r="V92" s="467">
        <f>E51*E49</f>
        <v>58998</v>
      </c>
      <c r="W92" s="467">
        <f>F51*F49</f>
        <v>42584</v>
      </c>
      <c r="X92" s="467">
        <f>G51*G49</f>
        <v>90009</v>
      </c>
      <c r="Y92" s="467">
        <f>H51*H49</f>
        <v>73151</v>
      </c>
      <c r="Z92" s="558" t="s">
        <v>403</v>
      </c>
      <c r="AA92" s="206"/>
      <c r="AB92" s="206"/>
      <c r="AC92" s="214"/>
      <c r="AD92" s="214"/>
      <c r="AE92" s="214"/>
      <c r="AF92" s="214"/>
      <c r="AG92" s="231"/>
      <c r="AH92" s="231"/>
      <c r="AI92" s="231"/>
      <c r="AJ92" s="231"/>
    </row>
    <row r="93" spans="20:36">
      <c r="T93" s="231"/>
      <c r="U93" s="548" t="s">
        <v>814</v>
      </c>
      <c r="V93" s="577">
        <f>AJ28*H57/E47</f>
        <v>0</v>
      </c>
      <c r="W93" s="577">
        <f>AJ28*H57/F47</f>
        <v>0</v>
      </c>
      <c r="X93" s="577">
        <f>AK28*H57/G47</f>
        <v>0</v>
      </c>
      <c r="Y93" s="577">
        <f>AK28*H57/H47</f>
        <v>0</v>
      </c>
      <c r="Z93" s="558" t="s">
        <v>403</v>
      </c>
      <c r="AA93" s="206"/>
      <c r="AB93" s="206"/>
      <c r="AC93" s="231"/>
      <c r="AD93" s="231"/>
      <c r="AE93" s="231"/>
      <c r="AF93" s="231"/>
      <c r="AG93" s="231"/>
      <c r="AH93" s="231"/>
      <c r="AI93" s="231"/>
      <c r="AJ93" s="231"/>
    </row>
    <row r="94" spans="20:36">
      <c r="T94" s="231"/>
      <c r="U94" s="548" t="s">
        <v>815</v>
      </c>
      <c r="V94" s="577">
        <f>AJ25-(AJ28/E48)</f>
        <v>0</v>
      </c>
      <c r="W94" s="577">
        <f>AJ25-AJ28/F48</f>
        <v>0</v>
      </c>
      <c r="X94" s="577">
        <f>AK25-AK28/G48</f>
        <v>0</v>
      </c>
      <c r="Y94" s="577">
        <f>AK25-AK28/H48</f>
        <v>0</v>
      </c>
      <c r="Z94" s="573" t="s">
        <v>775</v>
      </c>
      <c r="AA94" s="206"/>
      <c r="AB94" s="206"/>
      <c r="AC94" s="231"/>
      <c r="AD94" s="231"/>
      <c r="AE94" s="231"/>
      <c r="AF94" s="231"/>
      <c r="AG94" s="231"/>
      <c r="AH94" s="231"/>
      <c r="AI94" s="231"/>
      <c r="AJ94" s="231"/>
    </row>
    <row r="95" spans="20:36">
      <c r="T95" s="231"/>
      <c r="U95" s="548" t="s">
        <v>816</v>
      </c>
      <c r="V95" s="577">
        <f>E52*V94</f>
        <v>0</v>
      </c>
      <c r="W95" s="577">
        <f>F52*W94</f>
        <v>0</v>
      </c>
      <c r="X95" s="577">
        <f>G52*X94</f>
        <v>0</v>
      </c>
      <c r="Y95" s="577">
        <f>H52*Y94</f>
        <v>0</v>
      </c>
      <c r="Z95" s="558" t="s">
        <v>403</v>
      </c>
      <c r="AA95" s="206"/>
      <c r="AB95" s="206"/>
      <c r="AC95" s="231"/>
      <c r="AD95" s="231"/>
      <c r="AE95" s="231"/>
      <c r="AF95" s="231"/>
      <c r="AG95" s="231"/>
      <c r="AH95" s="231"/>
      <c r="AI95" s="231"/>
      <c r="AJ95" s="231"/>
    </row>
    <row r="96" spans="20:36">
      <c r="U96" s="548" t="s">
        <v>817</v>
      </c>
      <c r="V96" s="577">
        <f>V93+V95+V92</f>
        <v>58998</v>
      </c>
      <c r="W96" s="577">
        <f>W93+W95+W92</f>
        <v>42584</v>
      </c>
      <c r="X96" s="577">
        <f>X93+X95+X92</f>
        <v>90009</v>
      </c>
      <c r="Y96" s="577">
        <f>Y93+Y95+Y92</f>
        <v>73151</v>
      </c>
      <c r="Z96" s="558" t="s">
        <v>403</v>
      </c>
      <c r="AA96" s="206"/>
      <c r="AB96" s="206"/>
      <c r="AC96" s="231"/>
      <c r="AD96" s="231"/>
      <c r="AE96" s="231"/>
      <c r="AF96" s="231"/>
      <c r="AG96" s="250"/>
      <c r="AH96" s="206"/>
      <c r="AI96" s="206"/>
      <c r="AJ96" s="206"/>
    </row>
    <row r="97" spans="20:36">
      <c r="T97" s="231"/>
      <c r="U97" s="261"/>
      <c r="V97" s="262"/>
      <c r="W97" s="262"/>
      <c r="X97" s="262"/>
      <c r="Y97" s="262"/>
      <c r="Z97" s="263"/>
      <c r="AA97" s="206"/>
      <c r="AB97" s="206"/>
      <c r="AC97" s="231"/>
      <c r="AD97" s="231"/>
      <c r="AE97" s="231"/>
      <c r="AF97" s="231"/>
      <c r="AG97" s="231"/>
      <c r="AH97" s="231"/>
      <c r="AI97" s="231"/>
      <c r="AJ97" s="231"/>
    </row>
    <row r="98" spans="20:36">
      <c r="T98" s="230"/>
      <c r="U98" s="985" t="s">
        <v>84</v>
      </c>
      <c r="V98" s="980" t="s">
        <v>653</v>
      </c>
      <c r="W98" s="980"/>
      <c r="X98" s="981"/>
      <c r="Y98" s="862"/>
      <c r="Z98" s="863"/>
      <c r="AA98" s="206"/>
      <c r="AB98" s="206"/>
      <c r="AC98" s="231"/>
      <c r="AD98" s="231"/>
      <c r="AE98" s="231"/>
      <c r="AF98" s="231"/>
      <c r="AG98" s="231"/>
      <c r="AH98" s="231"/>
      <c r="AI98" s="231"/>
      <c r="AJ98" s="231"/>
    </row>
    <row r="99" spans="20:36" ht="14.4">
      <c r="T99" s="230"/>
      <c r="U99" s="986"/>
      <c r="V99" s="518"/>
      <c r="W99" s="442"/>
      <c r="X99" s="518"/>
      <c r="Y99" s="442"/>
      <c r="Z99" s="863"/>
      <c r="AA99" s="206"/>
      <c r="AB99" s="206"/>
      <c r="AC99" s="231"/>
      <c r="AD99" s="231"/>
      <c r="AE99" s="231"/>
      <c r="AF99" s="231"/>
      <c r="AG99" s="231"/>
      <c r="AH99" s="231"/>
      <c r="AI99" s="231"/>
      <c r="AJ99" s="231"/>
    </row>
    <row r="100" spans="20:36" ht="14.25" customHeight="1">
      <c r="T100" s="230"/>
      <c r="U100" s="987"/>
      <c r="V100" s="451" t="s">
        <v>822</v>
      </c>
      <c r="W100" s="451" t="s">
        <v>823</v>
      </c>
      <c r="X100" s="451" t="s">
        <v>765</v>
      </c>
      <c r="Y100" s="451"/>
      <c r="Z100" s="844"/>
      <c r="AA100" s="206"/>
      <c r="AB100" s="206"/>
      <c r="AC100" s="231"/>
      <c r="AD100" s="231"/>
      <c r="AE100" s="231"/>
      <c r="AF100" s="231"/>
      <c r="AG100" s="231"/>
      <c r="AH100" s="231"/>
      <c r="AI100" s="231"/>
      <c r="AJ100" s="231"/>
    </row>
    <row r="101" spans="20:36">
      <c r="T101" s="230"/>
      <c r="U101" s="548" t="s">
        <v>812</v>
      </c>
      <c r="V101" s="467">
        <f>E66*E68</f>
        <v>35000</v>
      </c>
      <c r="W101" s="467">
        <f>F66*F68</f>
        <v>18000</v>
      </c>
      <c r="X101" s="467">
        <f>G66*G68</f>
        <v>25000</v>
      </c>
      <c r="Y101" s="467"/>
      <c r="Z101" s="558" t="s">
        <v>403</v>
      </c>
      <c r="AA101" s="206"/>
      <c r="AB101" s="206"/>
      <c r="AC101" s="231"/>
      <c r="AD101" s="231"/>
      <c r="AE101" s="231"/>
      <c r="AF101" s="231"/>
      <c r="AG101" s="231"/>
      <c r="AH101" s="231"/>
      <c r="AI101" s="231"/>
      <c r="AJ101" s="231"/>
    </row>
    <row r="102" spans="20:36">
      <c r="T102" s="230"/>
      <c r="U102" s="548" t="s">
        <v>814</v>
      </c>
      <c r="V102" s="577">
        <f>$AL$28*$J$57/E64</f>
        <v>0</v>
      </c>
      <c r="W102" s="577">
        <f>$AL$28*$J$57/F64</f>
        <v>0</v>
      </c>
      <c r="X102" s="577">
        <f>$AL$28*$J$57/G64</f>
        <v>0</v>
      </c>
      <c r="Y102" s="577"/>
      <c r="Z102" s="558" t="s">
        <v>403</v>
      </c>
      <c r="AA102" s="206"/>
      <c r="AB102" s="206"/>
      <c r="AC102" s="231"/>
      <c r="AD102" s="231"/>
      <c r="AE102" s="231"/>
      <c r="AF102" s="231"/>
      <c r="AG102" s="231"/>
      <c r="AH102" s="231"/>
      <c r="AI102" s="231"/>
      <c r="AJ102" s="231"/>
    </row>
    <row r="103" spans="20:36">
      <c r="T103" s="230"/>
      <c r="U103" s="548" t="s">
        <v>815</v>
      </c>
      <c r="V103" s="577">
        <f>$AL$25-($AL$28/E65)</f>
        <v>0</v>
      </c>
      <c r="W103" s="577">
        <f>$AL$25-($AL$28/F65)</f>
        <v>0</v>
      </c>
      <c r="X103" s="577">
        <f>$AL$25-($AL$28/G65)</f>
        <v>0</v>
      </c>
      <c r="Y103" s="577"/>
      <c r="Z103" s="573" t="s">
        <v>775</v>
      </c>
      <c r="AA103" s="206"/>
      <c r="AB103" s="206"/>
      <c r="AC103" s="231"/>
      <c r="AD103" s="231"/>
      <c r="AE103" s="231"/>
      <c r="AF103" s="231"/>
      <c r="AG103" s="231"/>
      <c r="AH103" s="231"/>
      <c r="AI103" s="231"/>
      <c r="AJ103" s="231"/>
    </row>
    <row r="104" spans="20:36">
      <c r="T104" s="230"/>
      <c r="U104" s="548" t="s">
        <v>816</v>
      </c>
      <c r="V104" s="577">
        <f>E69*V103</f>
        <v>0</v>
      </c>
      <c r="W104" s="577">
        <f>F69*W103</f>
        <v>0</v>
      </c>
      <c r="X104" s="577">
        <f>G69*X103</f>
        <v>0</v>
      </c>
      <c r="Y104" s="577"/>
      <c r="Z104" s="558" t="s">
        <v>403</v>
      </c>
      <c r="AA104" s="206"/>
      <c r="AB104" s="206"/>
      <c r="AC104" s="231"/>
      <c r="AD104" s="231"/>
      <c r="AE104" s="231"/>
      <c r="AF104" s="231"/>
      <c r="AG104" s="231"/>
      <c r="AH104" s="231"/>
      <c r="AI104" s="231"/>
      <c r="AJ104" s="231"/>
    </row>
    <row r="105" spans="20:36">
      <c r="T105" s="230"/>
      <c r="U105" s="548" t="s">
        <v>817</v>
      </c>
      <c r="V105" s="577">
        <f>V102+V104+V101</f>
        <v>35000</v>
      </c>
      <c r="W105" s="577">
        <f>W102+W104+W101</f>
        <v>18000</v>
      </c>
      <c r="X105" s="577">
        <f>X102+X104+X101</f>
        <v>25000</v>
      </c>
      <c r="Y105" s="577"/>
      <c r="Z105" s="558" t="s">
        <v>403</v>
      </c>
      <c r="AA105" s="206"/>
      <c r="AB105" s="206"/>
      <c r="AC105" s="231"/>
      <c r="AD105" s="231"/>
      <c r="AE105" s="231"/>
      <c r="AF105" s="231"/>
      <c r="AG105" s="231"/>
      <c r="AH105" s="231"/>
      <c r="AI105" s="231"/>
      <c r="AJ105" s="231"/>
    </row>
    <row r="106" spans="20:36">
      <c r="T106" s="230"/>
      <c r="U106" s="261"/>
      <c r="V106" s="262"/>
      <c r="W106" s="262"/>
      <c r="X106" s="262"/>
      <c r="Y106" s="262"/>
      <c r="Z106" s="263"/>
      <c r="AA106" s="206"/>
      <c r="AB106" s="206"/>
      <c r="AC106" s="231"/>
      <c r="AD106" s="231"/>
      <c r="AE106" s="231"/>
      <c r="AF106" s="231"/>
      <c r="AG106" s="231"/>
      <c r="AH106" s="231"/>
      <c r="AI106" s="231"/>
      <c r="AJ106" s="231"/>
    </row>
    <row r="107" spans="20:36">
      <c r="T107" s="230"/>
      <c r="U107" s="261"/>
      <c r="V107" s="262"/>
      <c r="W107" s="262"/>
      <c r="X107" s="262"/>
      <c r="Y107" s="262"/>
      <c r="Z107" s="263"/>
      <c r="AA107" s="206"/>
      <c r="AB107" s="206"/>
      <c r="AC107" s="231"/>
      <c r="AD107" s="231"/>
      <c r="AE107" s="231"/>
      <c r="AF107" s="231"/>
      <c r="AG107" s="231"/>
      <c r="AH107" s="231"/>
      <c r="AI107" s="231"/>
      <c r="AJ107" s="231"/>
    </row>
    <row r="108" spans="20:36">
      <c r="T108" s="233"/>
      <c r="U108" s="261"/>
      <c r="V108" s="262"/>
      <c r="W108" s="262"/>
      <c r="X108" s="262"/>
      <c r="Y108" s="262"/>
      <c r="Z108" s="263"/>
      <c r="AA108" s="206"/>
      <c r="AB108" s="206"/>
      <c r="AC108" s="231"/>
      <c r="AD108" s="231"/>
      <c r="AE108" s="231"/>
      <c r="AF108" s="231"/>
      <c r="AG108" s="210"/>
      <c r="AH108" s="210"/>
      <c r="AI108" s="210"/>
      <c r="AJ108" s="210"/>
    </row>
    <row r="109" spans="20:36">
      <c r="U109" s="143" t="s">
        <v>824</v>
      </c>
      <c r="V109" s="206"/>
      <c r="W109" s="206"/>
      <c r="X109" s="206"/>
      <c r="Y109" s="207"/>
      <c r="Z109" s="207"/>
      <c r="AA109" s="208"/>
      <c r="AB109" s="209"/>
      <c r="AC109" s="208"/>
      <c r="AD109" s="199"/>
      <c r="AE109" s="200"/>
      <c r="AF109" s="201"/>
    </row>
    <row r="110" spans="20:36">
      <c r="U110" s="580"/>
      <c r="V110" s="580"/>
      <c r="W110" s="581"/>
      <c r="X110" s="451" t="s">
        <v>625</v>
      </c>
      <c r="Y110" s="451" t="s">
        <v>626</v>
      </c>
      <c r="Z110" s="451" t="s">
        <v>2</v>
      </c>
      <c r="AA110" s="451" t="s">
        <v>628</v>
      </c>
      <c r="AB110" s="451" t="s">
        <v>63</v>
      </c>
      <c r="AC110" s="231"/>
      <c r="AD110" s="231"/>
      <c r="AE110" s="231"/>
      <c r="AF110" s="231"/>
    </row>
    <row r="111" spans="20:36">
      <c r="U111" s="582" t="s">
        <v>81</v>
      </c>
      <c r="V111" s="582" t="s">
        <v>362</v>
      </c>
      <c r="W111" s="546" t="s">
        <v>753</v>
      </c>
      <c r="X111" s="467">
        <f>G5*V65*AC26/1000</f>
        <v>0</v>
      </c>
      <c r="Y111" s="467">
        <f>G5*W65*AC26/1000</f>
        <v>0</v>
      </c>
      <c r="Z111" s="467" t="str">
        <f>IF(A5="","",X111-Y111)</f>
        <v/>
      </c>
      <c r="AA111" s="494" t="str">
        <f>IF(A5="","",G5*'Incentive Levels'!F28)</f>
        <v/>
      </c>
      <c r="AB111" s="583" t="s">
        <v>5</v>
      </c>
      <c r="AC111" s="231"/>
      <c r="AD111" s="231"/>
      <c r="AE111" s="231"/>
      <c r="AF111" s="231"/>
    </row>
    <row r="112" spans="20:36">
      <c r="U112" s="582"/>
      <c r="V112" s="582" t="s">
        <v>362</v>
      </c>
      <c r="W112" s="546" t="s">
        <v>754</v>
      </c>
      <c r="X112" s="467">
        <f>G6*X65*AD26/1000</f>
        <v>0</v>
      </c>
      <c r="Y112" s="467">
        <f>G6*Y65*AD26/1000</f>
        <v>0</v>
      </c>
      <c r="Z112" s="467" t="str">
        <f t="shared" ref="Z112:Z120" si="5">IF(A6="","",X112-Y112)</f>
        <v/>
      </c>
      <c r="AA112" s="494" t="str">
        <f>IF(A6="","",G6*'Incentive Levels'!F29)</f>
        <v/>
      </c>
      <c r="AB112" s="583" t="s">
        <v>5</v>
      </c>
      <c r="AC112" s="231"/>
      <c r="AD112" s="231"/>
      <c r="AE112" s="231"/>
      <c r="AF112" s="231"/>
    </row>
    <row r="113" spans="21:32" ht="14.4">
      <c r="U113" s="442"/>
      <c r="V113" s="518" t="s">
        <v>653</v>
      </c>
      <c r="W113" s="581"/>
      <c r="X113" s="467">
        <f>G7*Z65*AE26/100000</f>
        <v>0</v>
      </c>
      <c r="Y113" s="467">
        <f>G7*AA65*AE26/100000</f>
        <v>0</v>
      </c>
      <c r="Z113" s="467" t="str">
        <f t="shared" si="5"/>
        <v/>
      </c>
      <c r="AA113" s="494" t="str">
        <f>IF(A7="","",G7*'Incentive Levels'!F28)</f>
        <v/>
      </c>
      <c r="AB113" s="459" t="s">
        <v>6</v>
      </c>
      <c r="AC113" s="231"/>
      <c r="AD113" s="231"/>
      <c r="AE113" s="231"/>
      <c r="AF113" s="231"/>
    </row>
    <row r="114" spans="21:32">
      <c r="U114" s="584" t="s">
        <v>782</v>
      </c>
      <c r="V114" s="585" t="s">
        <v>825</v>
      </c>
      <c r="W114" s="586"/>
      <c r="X114" s="467">
        <f>G8*X74*AF26/1000</f>
        <v>0</v>
      </c>
      <c r="Y114" s="467">
        <f>G8*AA74*AF26/1000</f>
        <v>0</v>
      </c>
      <c r="Z114" s="467" t="str">
        <f t="shared" si="5"/>
        <v/>
      </c>
      <c r="AA114" s="494" t="str">
        <f>IF(A8="","",G8*'Incentive Levels'!F24)</f>
        <v/>
      </c>
      <c r="AB114" s="459" t="s">
        <v>5</v>
      </c>
      <c r="AC114" s="248"/>
      <c r="AD114" s="231"/>
      <c r="AE114" s="231"/>
      <c r="AF114" s="231"/>
    </row>
    <row r="115" spans="21:32">
      <c r="U115" s="325"/>
      <c r="V115" s="585" t="s">
        <v>826</v>
      </c>
      <c r="W115" s="586"/>
      <c r="X115" s="467">
        <f>G9*X83*AG26/1000</f>
        <v>0</v>
      </c>
      <c r="Y115" s="467">
        <f>G9*AA83*AG26/1000</f>
        <v>0</v>
      </c>
      <c r="Z115" s="467" t="str">
        <f t="shared" si="5"/>
        <v/>
      </c>
      <c r="AA115" s="494" t="str">
        <f>IF(A9="","",(G9*'Incentive Levels'!F25))</f>
        <v/>
      </c>
      <c r="AB115" s="459" t="s">
        <v>5</v>
      </c>
      <c r="AC115" s="248"/>
      <c r="AD115" s="231"/>
      <c r="AE115" s="231"/>
      <c r="AF115" s="231"/>
    </row>
    <row r="116" spans="21:32">
      <c r="U116" s="325"/>
      <c r="V116" s="585" t="s">
        <v>827</v>
      </c>
      <c r="W116" s="586"/>
      <c r="X116" s="467">
        <f>G10*AD74*AH26/100000</f>
        <v>0</v>
      </c>
      <c r="Y116" s="467">
        <f>G10*AD74*AH26/100000</f>
        <v>0</v>
      </c>
      <c r="Z116" s="467" t="str">
        <f t="shared" si="5"/>
        <v/>
      </c>
      <c r="AA116" s="494" t="str">
        <f>IF(A10="","",(G10*'Incentive Levels'!F26))</f>
        <v/>
      </c>
      <c r="AB116" s="459"/>
      <c r="AC116" s="248"/>
      <c r="AD116" s="231"/>
      <c r="AE116" s="231"/>
      <c r="AF116" s="231"/>
    </row>
    <row r="117" spans="21:32">
      <c r="U117" s="326"/>
      <c r="V117" s="585" t="s">
        <v>828</v>
      </c>
      <c r="W117" s="586"/>
      <c r="X117" s="467">
        <f>G11*AD83*AI26/100000</f>
        <v>0</v>
      </c>
      <c r="Y117" s="467">
        <f>G11*AG83*AI26/100000</f>
        <v>0</v>
      </c>
      <c r="Z117" s="467" t="str">
        <f t="shared" si="5"/>
        <v/>
      </c>
      <c r="AA117" s="494" t="str">
        <f>IF(A11="","",(G11*'Incentive Levels'!F27))</f>
        <v/>
      </c>
      <c r="AB117" s="459" t="s">
        <v>6</v>
      </c>
      <c r="AC117" s="248"/>
      <c r="AD117" s="231"/>
      <c r="AE117" s="231"/>
      <c r="AF117" s="231"/>
    </row>
    <row r="118" spans="21:32">
      <c r="U118" s="582" t="s">
        <v>804</v>
      </c>
      <c r="V118" s="518" t="s">
        <v>653</v>
      </c>
      <c r="W118" s="518" t="s">
        <v>759</v>
      </c>
      <c r="X118" s="467">
        <f>G12*V96*AJ26/100000</f>
        <v>0</v>
      </c>
      <c r="Y118" s="467">
        <f>G12*W96*AJ26/100000</f>
        <v>0</v>
      </c>
      <c r="Z118" s="467" t="str">
        <f t="shared" si="5"/>
        <v/>
      </c>
      <c r="AA118" s="494" t="str">
        <f>IF(A12="","",G12*'Incentive Levels'!F36)</f>
        <v/>
      </c>
      <c r="AB118" s="459" t="s">
        <v>6</v>
      </c>
      <c r="AC118" s="248"/>
      <c r="AD118" s="231"/>
      <c r="AE118" s="231"/>
      <c r="AF118" s="231"/>
    </row>
    <row r="119" spans="21:32">
      <c r="U119" s="582"/>
      <c r="V119" s="518" t="s">
        <v>653</v>
      </c>
      <c r="W119" s="518" t="s">
        <v>760</v>
      </c>
      <c r="X119" s="467">
        <f>G13*X96*AK26/100000</f>
        <v>0</v>
      </c>
      <c r="Y119" s="467">
        <f>G13*Y96*AK26/100000</f>
        <v>0</v>
      </c>
      <c r="Z119" s="467" t="str">
        <f t="shared" si="5"/>
        <v/>
      </c>
      <c r="AA119" s="494" t="str">
        <f>IF(A13="","",G13*'Incentive Levels'!F35)</f>
        <v/>
      </c>
      <c r="AB119" s="459" t="s">
        <v>6</v>
      </c>
      <c r="AC119" s="248"/>
      <c r="AD119" s="231"/>
      <c r="AE119" s="231"/>
      <c r="AF119" s="231"/>
    </row>
    <row r="120" spans="21:32">
      <c r="U120" s="582" t="s">
        <v>84</v>
      </c>
      <c r="V120" s="518" t="s">
        <v>653</v>
      </c>
      <c r="W120" s="518"/>
      <c r="X120" s="467">
        <f>G14*V105*AL26/100000</f>
        <v>0</v>
      </c>
      <c r="Y120" s="467">
        <f>G14*X105*AL26/100000</f>
        <v>0</v>
      </c>
      <c r="Z120" s="467" t="str">
        <f t="shared" si="5"/>
        <v/>
      </c>
      <c r="AA120" s="494" t="str">
        <f>IF(A14="","",G14*'Incentive Levels'!F30)</f>
        <v/>
      </c>
      <c r="AB120" s="459" t="s">
        <v>6</v>
      </c>
      <c r="AC120" s="248"/>
      <c r="AD120" s="231"/>
      <c r="AE120" s="231"/>
      <c r="AF120" s="231"/>
    </row>
    <row r="121" spans="21:32">
      <c r="U121" s="234"/>
      <c r="V121" s="235"/>
      <c r="W121" s="235"/>
      <c r="X121" s="235"/>
      <c r="Y121" s="233"/>
      <c r="Z121" s="233"/>
      <c r="AA121" s="233"/>
      <c r="AB121" s="233"/>
      <c r="AC121" s="233"/>
      <c r="AD121" s="233"/>
      <c r="AE121" s="210"/>
      <c r="AF121" s="210"/>
    </row>
  </sheetData>
  <sheetProtection algorithmName="SHA-512" hashValue="pF0oG0nV46cEGtdoQX6XmDzWu0AHx863PmKXe+5m161w4IF+3LBdzikRTez1V9lAukoN15KgLDkp0FqzHBhAiw==" saltValue="vp6JdyF23IZiYnp2aKm/1w==" spinCount="100000" sheet="1" objects="1" scenarios="1"/>
  <protectedRanges>
    <protectedRange sqref="F22:F27 H22:H27 J22:J27 F47:F52 H47:H52 E57:F57 H57:J57 G64:G69 G33:H41 K33:L41" name="Range1_2"/>
    <protectedRange sqref="G5:G14 H8:H11 I5:L14" name="Range1"/>
  </protectedRanges>
  <mergeCells count="89">
    <mergeCell ref="U76:U78"/>
    <mergeCell ref="Y36:Y37"/>
    <mergeCell ref="Z36:Z37"/>
    <mergeCell ref="Y46:Y47"/>
    <mergeCell ref="Z46:Z47"/>
    <mergeCell ref="V76:AA76"/>
    <mergeCell ref="V77:X77"/>
    <mergeCell ref="Y77:AA77"/>
    <mergeCell ref="U67:U69"/>
    <mergeCell ref="U58:U60"/>
    <mergeCell ref="V59:W59"/>
    <mergeCell ref="X59:Y59"/>
    <mergeCell ref="Z59:Z60"/>
    <mergeCell ref="AC21:AM21"/>
    <mergeCell ref="AB79:AD79"/>
    <mergeCell ref="AE79:AG79"/>
    <mergeCell ref="AH67:AH69"/>
    <mergeCell ref="AB68:AD68"/>
    <mergeCell ref="AE68:AG68"/>
    <mergeCell ref="AB67:AG67"/>
    <mergeCell ref="AA22:AB22"/>
    <mergeCell ref="AH23:AI23"/>
    <mergeCell ref="AH76:AH78"/>
    <mergeCell ref="AB77:AD77"/>
    <mergeCell ref="AE77:AG77"/>
    <mergeCell ref="AB76:AG76"/>
    <mergeCell ref="AA59:AA60"/>
    <mergeCell ref="V79:X79"/>
    <mergeCell ref="Y79:AA79"/>
    <mergeCell ref="AJ22:AK22"/>
    <mergeCell ref="AJ23:AK23"/>
    <mergeCell ref="Y22:Z22"/>
    <mergeCell ref="V23:W23"/>
    <mergeCell ref="X23:X24"/>
    <mergeCell ref="V67:AA67"/>
    <mergeCell ref="V68:X68"/>
    <mergeCell ref="Y68:AA68"/>
    <mergeCell ref="AB58:AB60"/>
    <mergeCell ref="Y23:Y24"/>
    <mergeCell ref="Z23:Z24"/>
    <mergeCell ref="AA23:AB23"/>
    <mergeCell ref="V58:Y58"/>
    <mergeCell ref="Z58:AA58"/>
    <mergeCell ref="D19:D21"/>
    <mergeCell ref="O2:R2"/>
    <mergeCell ref="AF22:AI22"/>
    <mergeCell ref="AF23:AG23"/>
    <mergeCell ref="U98:U100"/>
    <mergeCell ref="V98:Y98"/>
    <mergeCell ref="Z98:Z100"/>
    <mergeCell ref="AE70:AG70"/>
    <mergeCell ref="U89:U91"/>
    <mergeCell ref="V89:Y89"/>
    <mergeCell ref="Z89:Z91"/>
    <mergeCell ref="V90:W90"/>
    <mergeCell ref="X90:Y90"/>
    <mergeCell ref="V70:X70"/>
    <mergeCell ref="Y70:AA70"/>
    <mergeCell ref="AB70:AD70"/>
    <mergeCell ref="D30:D32"/>
    <mergeCell ref="E30:H30"/>
    <mergeCell ref="I30:L30"/>
    <mergeCell ref="E31:F31"/>
    <mergeCell ref="G31:H31"/>
    <mergeCell ref="I31:J31"/>
    <mergeCell ref="K31:L31"/>
    <mergeCell ref="E19:H19"/>
    <mergeCell ref="I19:J19"/>
    <mergeCell ref="K19:K21"/>
    <mergeCell ref="E20:F20"/>
    <mergeCell ref="V22:X22"/>
    <mergeCell ref="V21:AB21"/>
    <mergeCell ref="M30:M32"/>
    <mergeCell ref="G20:H20"/>
    <mergeCell ref="I20:I21"/>
    <mergeCell ref="J20:J21"/>
    <mergeCell ref="U21:U23"/>
    <mergeCell ref="E5:E6"/>
    <mergeCell ref="E7:F7"/>
    <mergeCell ref="E12:E13"/>
    <mergeCell ref="E14:F14"/>
    <mergeCell ref="A2:A3"/>
    <mergeCell ref="B2:B3"/>
    <mergeCell ref="C2:C3"/>
    <mergeCell ref="D5:D7"/>
    <mergeCell ref="D12:D13"/>
    <mergeCell ref="E10:E11"/>
    <mergeCell ref="E8:E9"/>
    <mergeCell ref="D8:D11"/>
  </mergeCells>
  <dataValidations count="1">
    <dataValidation type="decimal" allowBlank="1" showInputMessage="1" showErrorMessage="1" sqref="D1" xr:uid="{B92561FC-09E4-4E42-A58C-12414739D4F1}">
      <formula1>0</formula1>
      <formula2>999999999999999000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88B7A7-DB22-4106-BBC4-67AFE2261824}">
          <x14:formula1>
            <xm:f>Lookups!$X$111:$X$112</xm:f>
          </x14:formula1>
          <xm:sqref>L5:L14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0E0D1-CF11-4A48-98DF-12CA70DD523E}">
  <sheetPr codeName="Sheet11">
    <tabColor theme="4" tint="0.39997558519241921"/>
  </sheetPr>
  <dimension ref="A1:AJ51"/>
  <sheetViews>
    <sheetView zoomScaleNormal="100" workbookViewId="0">
      <selection activeCell="C1" sqref="C1"/>
    </sheetView>
  </sheetViews>
  <sheetFormatPr defaultColWidth="0" defaultRowHeight="13.8"/>
  <cols>
    <col min="1" max="1" width="7.5546875" style="6" customWidth="1"/>
    <col min="2" max="2" width="8" style="6" customWidth="1"/>
    <col min="3" max="3" width="8.33203125" style="6" customWidth="1"/>
    <col min="4" max="4" width="11.6640625" style="6" bestFit="1" customWidth="1"/>
    <col min="5" max="5" width="16.109375" style="6" customWidth="1"/>
    <col min="6" max="6" width="21" style="6" customWidth="1"/>
    <col min="7" max="7" width="24.5546875" style="6" bestFit="1" customWidth="1"/>
    <col min="8" max="8" width="8.5546875" style="6" customWidth="1"/>
    <col min="9" max="9" width="12.44140625" style="6" customWidth="1"/>
    <col min="10" max="11" width="12.6640625" style="6" customWidth="1"/>
    <col min="12" max="12" width="16.109375" style="6" customWidth="1"/>
    <col min="13" max="13" width="14.44140625" style="6" bestFit="1" customWidth="1"/>
    <col min="14" max="14" width="14.109375" style="6" customWidth="1"/>
    <col min="15" max="16" width="11.109375" style="6" customWidth="1"/>
    <col min="17" max="17" width="13.109375" style="6" customWidth="1"/>
    <col min="18" max="18" width="1.88671875" style="6" customWidth="1"/>
    <col min="19" max="19" width="13" style="6" customWidth="1"/>
    <col min="20" max="20" width="12" style="6" customWidth="1"/>
    <col min="21" max="23" width="13.109375" style="6" customWidth="1"/>
    <col min="24" max="24" width="18.109375" style="6" hidden="1" customWidth="1"/>
    <col min="25" max="25" width="34.5546875" style="6" hidden="1" customWidth="1"/>
    <col min="26" max="27" width="15" style="6" hidden="1" customWidth="1"/>
    <col min="28" max="29" width="17.88671875" style="6" hidden="1" customWidth="1"/>
    <col min="30" max="30" width="10.5546875" style="6" hidden="1" customWidth="1"/>
    <col min="31" max="31" width="15" style="6" hidden="1" customWidth="1"/>
    <col min="32" max="33" width="17.88671875" style="6" hidden="1" customWidth="1"/>
    <col min="34" max="34" width="15" style="6" hidden="1" customWidth="1"/>
    <col min="35" max="16384" width="10" style="6" hidden="1"/>
  </cols>
  <sheetData>
    <row r="1" spans="1:36" s="7" customFormat="1" ht="25.2">
      <c r="C1" s="30" t="s">
        <v>829</v>
      </c>
      <c r="D1" s="9"/>
      <c r="E1" s="9"/>
      <c r="F1" s="9"/>
      <c r="G1" s="8"/>
      <c r="H1" s="8"/>
      <c r="I1" s="8"/>
      <c r="J1" s="8"/>
      <c r="K1" s="8"/>
      <c r="L1" s="8"/>
      <c r="M1" s="8"/>
      <c r="R1" s="6"/>
      <c r="S1" s="6"/>
      <c r="T1" s="6"/>
    </row>
    <row r="2" spans="1:36" s="10" customFormat="1" ht="15" customHeight="1">
      <c r="A2" s="926" t="s">
        <v>118</v>
      </c>
      <c r="B2" s="928" t="s">
        <v>255</v>
      </c>
      <c r="C2" s="866" t="s">
        <v>589</v>
      </c>
      <c r="D2" s="867" t="s">
        <v>590</v>
      </c>
      <c r="E2" s="868"/>
      <c r="F2" s="868"/>
      <c r="G2" s="868"/>
      <c r="H2" s="868"/>
      <c r="I2" s="868"/>
      <c r="J2" s="868"/>
      <c r="K2" s="868"/>
      <c r="L2" s="868"/>
      <c r="M2" s="868"/>
      <c r="N2" s="868"/>
      <c r="O2" s="868"/>
      <c r="P2" s="868"/>
      <c r="Q2" s="868"/>
      <c r="R2" s="6"/>
      <c r="S2" s="868" t="s">
        <v>591</v>
      </c>
      <c r="T2" s="868"/>
      <c r="U2" s="868"/>
      <c r="V2" s="868"/>
    </row>
    <row r="3" spans="1:36" s="127" customFormat="1" ht="45" customHeight="1">
      <c r="A3" s="927"/>
      <c r="B3" s="929"/>
      <c r="C3" s="866"/>
      <c r="D3" s="424" t="s">
        <v>592</v>
      </c>
      <c r="E3" s="424" t="s">
        <v>593</v>
      </c>
      <c r="F3" s="425" t="s">
        <v>99</v>
      </c>
      <c r="G3" s="425" t="s">
        <v>221</v>
      </c>
      <c r="H3" s="424" t="s">
        <v>594</v>
      </c>
      <c r="I3" s="424" t="s">
        <v>769</v>
      </c>
      <c r="J3" s="424" t="s">
        <v>830</v>
      </c>
      <c r="K3" s="424" t="s">
        <v>831</v>
      </c>
      <c r="L3" s="424" t="s">
        <v>832</v>
      </c>
      <c r="M3" s="424" t="s">
        <v>766</v>
      </c>
      <c r="N3" s="424" t="s">
        <v>767</v>
      </c>
      <c r="O3" s="424" t="s">
        <v>833</v>
      </c>
      <c r="P3" s="424" t="s">
        <v>834</v>
      </c>
      <c r="Q3" s="424" t="s">
        <v>835</v>
      </c>
      <c r="R3" s="6"/>
      <c r="S3" s="423" t="s">
        <v>599</v>
      </c>
      <c r="T3" s="423" t="s">
        <v>600</v>
      </c>
      <c r="U3" s="423" t="s">
        <v>6</v>
      </c>
      <c r="V3" s="423" t="s">
        <v>601</v>
      </c>
      <c r="W3" s="10"/>
    </row>
    <row r="4" spans="1:36" s="127" customFormat="1">
      <c r="A4" s="428"/>
      <c r="B4" s="428"/>
      <c r="C4" s="427" t="s">
        <v>602</v>
      </c>
      <c r="D4" s="428"/>
      <c r="E4" s="428"/>
      <c r="F4" s="428" t="s">
        <v>362</v>
      </c>
      <c r="G4" s="428" t="s">
        <v>836</v>
      </c>
      <c r="H4" s="428">
        <v>1</v>
      </c>
      <c r="I4" s="428">
        <v>1</v>
      </c>
      <c r="J4" s="428">
        <v>15</v>
      </c>
      <c r="K4" s="428">
        <v>1.9</v>
      </c>
      <c r="L4" s="428">
        <v>800</v>
      </c>
      <c r="M4" s="428">
        <v>0.83</v>
      </c>
      <c r="N4" s="428">
        <v>70</v>
      </c>
      <c r="O4" s="428">
        <v>16</v>
      </c>
      <c r="P4" s="428">
        <v>365</v>
      </c>
      <c r="Q4" s="428">
        <v>150</v>
      </c>
      <c r="R4" s="6"/>
      <c r="S4" s="428">
        <v>150</v>
      </c>
      <c r="T4" s="428">
        <v>150</v>
      </c>
      <c r="U4" s="428">
        <v>150</v>
      </c>
      <c r="V4" s="428">
        <v>150</v>
      </c>
      <c r="W4" s="10"/>
    </row>
    <row r="5" spans="1:36" s="10" customFormat="1">
      <c r="A5" s="431" t="str">
        <f>IF(Summary!$C$7="","",Summary!$C$7)</f>
        <v/>
      </c>
      <c r="B5" s="428">
        <f>IFERROR(IF(ISNUMBER(MATCH(Summary!$C$8,Lookups!$B$143:$B$196,0)),"Wilmington, DE",IF(ISNUMBER(MATCH(Summary!$C$8,Lookups!$C$143:$C$187,0)),"Dover, DE",0)),"")</f>
        <v>0</v>
      </c>
      <c r="C5" s="428">
        <v>1</v>
      </c>
      <c r="D5" s="433"/>
      <c r="E5" s="433"/>
      <c r="F5" s="869" t="s">
        <v>362</v>
      </c>
      <c r="G5" s="428" t="s">
        <v>836</v>
      </c>
      <c r="H5" s="435"/>
      <c r="I5" s="461"/>
      <c r="J5" s="435"/>
      <c r="K5" s="587"/>
      <c r="L5" s="461"/>
      <c r="M5" s="438"/>
      <c r="N5" s="461"/>
      <c r="O5" s="461"/>
      <c r="P5" s="461"/>
      <c r="Q5" s="461"/>
      <c r="R5" s="6"/>
      <c r="S5" s="543" t="s">
        <v>332</v>
      </c>
      <c r="T5" s="439">
        <f>AC48</f>
        <v>0</v>
      </c>
      <c r="U5" s="543" t="s">
        <v>332</v>
      </c>
      <c r="V5" s="462">
        <f>AE48</f>
        <v>0</v>
      </c>
    </row>
    <row r="6" spans="1:36" s="10" customFormat="1">
      <c r="A6" s="431" t="str">
        <f>IF(Summary!$C$7="","",Summary!$C$7)</f>
        <v/>
      </c>
      <c r="B6" s="428">
        <f>IFERROR(IF(ISNUMBER(MATCH(Summary!$C$8,Lookups!$B$143:$B$196,0)),"Wilmington, DE",IF(ISNUMBER(MATCH(Summary!$C$8,Lookups!$C$143:$C$187,0)),"Dover, DE",0)),"")</f>
        <v>0</v>
      </c>
      <c r="C6" s="428">
        <v>2</v>
      </c>
      <c r="D6" s="433"/>
      <c r="E6" s="433"/>
      <c r="F6" s="870"/>
      <c r="G6" s="428" t="s">
        <v>837</v>
      </c>
      <c r="H6" s="435"/>
      <c r="I6" s="461"/>
      <c r="J6" s="435"/>
      <c r="K6" s="587"/>
      <c r="L6" s="461"/>
      <c r="M6" s="438"/>
      <c r="N6" s="461"/>
      <c r="O6" s="461"/>
      <c r="P6" s="461"/>
      <c r="Q6" s="461"/>
      <c r="R6" s="6"/>
      <c r="S6" s="543" t="s">
        <v>332</v>
      </c>
      <c r="T6" s="439">
        <f>AC49</f>
        <v>0</v>
      </c>
      <c r="U6" s="543" t="s">
        <v>332</v>
      </c>
      <c r="V6" s="462">
        <f t="shared" ref="V6:V8" si="0">AE49</f>
        <v>0</v>
      </c>
    </row>
    <row r="7" spans="1:36" s="10" customFormat="1">
      <c r="A7" s="431" t="str">
        <f>IF(Summary!$C$7="","",Summary!$C$7)</f>
        <v/>
      </c>
      <c r="B7" s="428">
        <f>IFERROR(IF(ISNUMBER(MATCH(Summary!$C$8,Lookups!$B$143:$B$196,0)),"Wilmington, DE",IF(ISNUMBER(MATCH(Summary!$C$8,Lookups!$C$143:$C$187,0)),"Dover, DE",0)),"")</f>
        <v>0</v>
      </c>
      <c r="C7" s="428">
        <v>3</v>
      </c>
      <c r="D7" s="433"/>
      <c r="E7" s="433"/>
      <c r="F7" s="870" t="s">
        <v>364</v>
      </c>
      <c r="G7" s="428" t="s">
        <v>836</v>
      </c>
      <c r="H7" s="435"/>
      <c r="I7" s="461"/>
      <c r="J7" s="435"/>
      <c r="K7" s="435"/>
      <c r="L7" s="461"/>
      <c r="M7" s="438"/>
      <c r="N7" s="461"/>
      <c r="O7" s="461"/>
      <c r="P7" s="461"/>
      <c r="Q7" s="461"/>
      <c r="R7" s="6"/>
      <c r="S7" s="543" t="s">
        <v>332</v>
      </c>
      <c r="T7" s="543" t="s">
        <v>332</v>
      </c>
      <c r="U7" s="439">
        <f>AC50</f>
        <v>0</v>
      </c>
      <c r="V7" s="462">
        <f t="shared" si="0"/>
        <v>0</v>
      </c>
    </row>
    <row r="8" spans="1:36" s="10" customFormat="1" ht="13.2">
      <c r="A8" s="431" t="str">
        <f>IF(Summary!$C$7="","",Summary!$C$7)</f>
        <v/>
      </c>
      <c r="B8" s="428">
        <f>IFERROR(IF(ISNUMBER(MATCH(Summary!$C$8,Lookups!$B$143:$B$196,0)),"Wilmington, DE",IF(ISNUMBER(MATCH(Summary!$C$8,Lookups!$C$143:$C$187,0)),"Dover, DE",0)),"")</f>
        <v>0</v>
      </c>
      <c r="C8" s="428">
        <v>4</v>
      </c>
      <c r="D8" s="433"/>
      <c r="E8" s="433"/>
      <c r="F8" s="871"/>
      <c r="G8" s="428" t="s">
        <v>837</v>
      </c>
      <c r="H8" s="435"/>
      <c r="I8" s="461"/>
      <c r="J8" s="435"/>
      <c r="K8" s="435"/>
      <c r="L8" s="461"/>
      <c r="M8" s="438"/>
      <c r="N8" s="461"/>
      <c r="O8" s="461"/>
      <c r="P8" s="461"/>
      <c r="Q8" s="461"/>
      <c r="S8" s="543" t="s">
        <v>332</v>
      </c>
      <c r="T8" s="543" t="s">
        <v>332</v>
      </c>
      <c r="U8" s="439">
        <f>AC51</f>
        <v>0</v>
      </c>
      <c r="V8" s="462">
        <f t="shared" si="0"/>
        <v>0</v>
      </c>
    </row>
    <row r="9" spans="1:36" s="10" customFormat="1">
      <c r="C9" s="124" t="s">
        <v>838</v>
      </c>
      <c r="D9" s="129"/>
      <c r="E9" s="129"/>
      <c r="F9" s="129"/>
      <c r="G9" s="129"/>
      <c r="L9" s="129"/>
      <c r="M9" s="129"/>
      <c r="N9" s="129"/>
      <c r="R9" s="6"/>
      <c r="S9" s="6"/>
      <c r="T9" s="6"/>
    </row>
    <row r="10" spans="1:36" s="10" customFormat="1">
      <c r="C10" s="131"/>
      <c r="D10" s="129"/>
      <c r="E10" s="129"/>
      <c r="F10" s="129"/>
      <c r="G10" s="129"/>
      <c r="H10" s="129"/>
      <c r="I10" s="129"/>
      <c r="J10" s="129"/>
      <c r="K10" s="129"/>
      <c r="L10" s="129"/>
      <c r="M10" s="129"/>
      <c r="R10" s="6"/>
      <c r="S10" s="6"/>
      <c r="T10" s="6"/>
    </row>
    <row r="13" spans="1:36">
      <c r="X13" s="217"/>
      <c r="Y13" s="217"/>
      <c r="Z13" s="217"/>
      <c r="AA13" s="217"/>
      <c r="AB13" s="217"/>
      <c r="AC13" s="217"/>
      <c r="AD13" s="217"/>
      <c r="AE13" s="217"/>
      <c r="AF13" s="217"/>
      <c r="AG13" s="217"/>
      <c r="AH13" s="217"/>
    </row>
    <row r="14" spans="1:36" ht="14.4">
      <c r="X14" s="143" t="s">
        <v>647</v>
      </c>
      <c r="Y14" s="150"/>
      <c r="Z14" s="206"/>
      <c r="AA14" s="206"/>
      <c r="AB14" s="206"/>
      <c r="AC14" s="206"/>
      <c r="AD14" s="271">
        <v>0</v>
      </c>
      <c r="AE14" s="271">
        <v>0</v>
      </c>
      <c r="AF14" s="271">
        <v>0</v>
      </c>
      <c r="AG14" s="271">
        <v>0</v>
      </c>
      <c r="AH14" s="208"/>
      <c r="AI14" s="206"/>
      <c r="AJ14" s="206"/>
    </row>
    <row r="15" spans="1:36" ht="14.4">
      <c r="X15" s="143"/>
      <c r="Y15" s="914"/>
      <c r="Z15" s="850" t="s">
        <v>609</v>
      </c>
      <c r="AA15" s="851"/>
      <c r="AB15" s="864"/>
      <c r="AC15" s="865"/>
      <c r="AD15" s="850" t="s">
        <v>610</v>
      </c>
      <c r="AE15" s="851"/>
      <c r="AF15" s="864"/>
      <c r="AG15" s="865"/>
      <c r="AH15" s="914"/>
      <c r="AI15" s="206"/>
      <c r="AJ15" s="206"/>
    </row>
    <row r="16" spans="1:36">
      <c r="X16" s="202"/>
      <c r="Y16" s="1003"/>
      <c r="Z16" s="1002" t="s">
        <v>362</v>
      </c>
      <c r="AA16" s="1004"/>
      <c r="AB16" s="1002" t="s">
        <v>653</v>
      </c>
      <c r="AC16" s="1004"/>
      <c r="AD16" s="1002" t="s">
        <v>362</v>
      </c>
      <c r="AE16" s="1004"/>
      <c r="AF16" s="1002" t="s">
        <v>653</v>
      </c>
      <c r="AG16" s="1004"/>
      <c r="AH16" s="1003"/>
      <c r="AI16" s="993" t="s">
        <v>839</v>
      </c>
      <c r="AJ16" s="994"/>
    </row>
    <row r="17" spans="4:36" ht="14.25" customHeight="1">
      <c r="X17" s="202"/>
      <c r="Y17" s="979"/>
      <c r="Z17" s="546" t="s">
        <v>836</v>
      </c>
      <c r="AA17" s="546" t="s">
        <v>837</v>
      </c>
      <c r="AB17" s="546" t="s">
        <v>836</v>
      </c>
      <c r="AC17" s="546" t="s">
        <v>837</v>
      </c>
      <c r="AD17" s="546" t="s">
        <v>836</v>
      </c>
      <c r="AE17" s="546" t="s">
        <v>837</v>
      </c>
      <c r="AF17" s="546" t="s">
        <v>836</v>
      </c>
      <c r="AG17" s="546" t="s">
        <v>837</v>
      </c>
      <c r="AH17" s="979"/>
      <c r="AI17" s="995"/>
      <c r="AJ17" s="994"/>
    </row>
    <row r="18" spans="4:36">
      <c r="X18" s="202"/>
      <c r="Y18" s="474" t="s">
        <v>833</v>
      </c>
      <c r="Z18" s="467">
        <v>16</v>
      </c>
      <c r="AA18" s="467">
        <v>12</v>
      </c>
      <c r="AB18" s="467">
        <v>16</v>
      </c>
      <c r="AC18" s="467">
        <v>12</v>
      </c>
      <c r="AD18" s="467">
        <f>O5</f>
        <v>0</v>
      </c>
      <c r="AE18" s="467">
        <f>O6</f>
        <v>0</v>
      </c>
      <c r="AF18" s="488">
        <f>O7</f>
        <v>0</v>
      </c>
      <c r="AG18" s="488">
        <f>O8</f>
        <v>0</v>
      </c>
      <c r="AH18" s="447" t="s">
        <v>775</v>
      </c>
      <c r="AI18" s="995"/>
      <c r="AJ18" s="994"/>
    </row>
    <row r="19" spans="4:36">
      <c r="D19" s="11"/>
      <c r="E19" s="11"/>
      <c r="F19" s="11"/>
      <c r="G19" s="11"/>
      <c r="H19" s="11"/>
      <c r="I19" s="11"/>
      <c r="J19" s="11"/>
      <c r="K19" s="11"/>
      <c r="L19" s="11"/>
      <c r="M19" s="11"/>
      <c r="N19" s="11"/>
      <c r="X19" s="202"/>
      <c r="Y19" s="474" t="s">
        <v>834</v>
      </c>
      <c r="Z19" s="467">
        <v>365</v>
      </c>
      <c r="AA19" s="467">
        <v>365</v>
      </c>
      <c r="AB19" s="467">
        <v>365</v>
      </c>
      <c r="AC19" s="467">
        <v>365</v>
      </c>
      <c r="AD19" s="467">
        <f>P5</f>
        <v>0</v>
      </c>
      <c r="AE19" s="467">
        <f>P6</f>
        <v>0</v>
      </c>
      <c r="AF19" s="488">
        <f>P7</f>
        <v>0</v>
      </c>
      <c r="AG19" s="488">
        <f>P8</f>
        <v>0</v>
      </c>
      <c r="AH19" s="447" t="s">
        <v>617</v>
      </c>
      <c r="AI19" s="995"/>
      <c r="AJ19" s="994"/>
    </row>
    <row r="20" spans="4:36">
      <c r="D20" s="11"/>
      <c r="E20" s="11"/>
      <c r="F20" s="11"/>
      <c r="G20" s="11"/>
      <c r="H20" s="11"/>
      <c r="I20" s="11"/>
      <c r="J20" s="11"/>
      <c r="K20" s="11"/>
      <c r="L20" s="11"/>
      <c r="M20" s="11"/>
      <c r="N20" s="11"/>
      <c r="X20" s="202"/>
      <c r="Y20" s="474" t="s">
        <v>835</v>
      </c>
      <c r="Z20" s="467">
        <v>150</v>
      </c>
      <c r="AA20" s="467">
        <v>150</v>
      </c>
      <c r="AB20" s="467">
        <v>150</v>
      </c>
      <c r="AC20" s="467">
        <v>150</v>
      </c>
      <c r="AD20" s="467">
        <f>Q5</f>
        <v>0</v>
      </c>
      <c r="AE20" s="467">
        <f>Q6</f>
        <v>0</v>
      </c>
      <c r="AF20" s="467">
        <f>Q7</f>
        <v>0</v>
      </c>
      <c r="AG20" s="467">
        <f>Q8</f>
        <v>0</v>
      </c>
      <c r="AH20" s="447" t="s">
        <v>781</v>
      </c>
      <c r="AI20" s="996"/>
      <c r="AJ20" s="997"/>
    </row>
    <row r="21" spans="4:36">
      <c r="D21" s="11"/>
      <c r="E21" s="11"/>
      <c r="F21" s="11"/>
      <c r="G21" s="11"/>
      <c r="H21" s="11"/>
      <c r="I21" s="11"/>
      <c r="J21" s="11"/>
      <c r="K21" s="11"/>
      <c r="L21" s="11"/>
      <c r="M21" s="11"/>
      <c r="N21" s="11"/>
      <c r="X21" s="202"/>
      <c r="Y21" s="474"/>
      <c r="Z21" s="559"/>
      <c r="AA21" s="559"/>
      <c r="AB21" s="559"/>
      <c r="AC21" s="559"/>
      <c r="AD21" s="559"/>
      <c r="AE21" s="559"/>
      <c r="AF21" s="559"/>
      <c r="AG21" s="559"/>
      <c r="AH21" s="560"/>
      <c r="AI21" s="998"/>
      <c r="AJ21" s="999"/>
    </row>
    <row r="22" spans="4:36" ht="14.4">
      <c r="D22" s="11"/>
      <c r="E22" s="11"/>
      <c r="F22" s="11"/>
      <c r="G22" s="11"/>
      <c r="H22" s="11"/>
      <c r="I22" s="11"/>
      <c r="J22" s="11"/>
      <c r="K22" s="11"/>
      <c r="L22" s="11"/>
      <c r="M22" s="11"/>
      <c r="N22" s="11"/>
      <c r="X22" s="143" t="s">
        <v>618</v>
      </c>
      <c r="Y22" s="150"/>
      <c r="Z22" s="206"/>
      <c r="AA22" s="206"/>
      <c r="AB22" s="206"/>
      <c r="AC22" s="206"/>
      <c r="AD22" s="206"/>
      <c r="AE22" s="206"/>
      <c r="AF22" s="206"/>
      <c r="AG22" s="206"/>
      <c r="AH22" s="209"/>
      <c r="AI22" s="208"/>
      <c r="AJ22" s="206"/>
    </row>
    <row r="23" spans="4:36" ht="14.4">
      <c r="X23" s="143"/>
      <c r="Y23" s="914"/>
      <c r="Z23" s="937" t="s">
        <v>362</v>
      </c>
      <c r="AA23" s="938"/>
      <c r="AB23" s="1000"/>
      <c r="AC23" s="1001"/>
      <c r="AD23" s="863"/>
      <c r="AE23" s="937" t="s">
        <v>653</v>
      </c>
      <c r="AF23" s="864"/>
      <c r="AG23" s="864"/>
      <c r="AH23" s="865"/>
      <c r="AI23" s="863"/>
      <c r="AJ23" s="272"/>
    </row>
    <row r="24" spans="4:36" ht="14.4">
      <c r="X24" s="143"/>
      <c r="Y24" s="915"/>
      <c r="Z24" s="1002" t="s">
        <v>836</v>
      </c>
      <c r="AA24" s="1001"/>
      <c r="AB24" s="1002" t="s">
        <v>837</v>
      </c>
      <c r="AC24" s="1001"/>
      <c r="AD24" s="863"/>
      <c r="AE24" s="1002" t="s">
        <v>836</v>
      </c>
      <c r="AF24" s="1001"/>
      <c r="AG24" s="1002" t="s">
        <v>837</v>
      </c>
      <c r="AH24" s="1001"/>
      <c r="AI24" s="863"/>
      <c r="AJ24" s="272"/>
    </row>
    <row r="25" spans="4:36">
      <c r="X25" s="202"/>
      <c r="Y25" s="979"/>
      <c r="Z25" s="451" t="s">
        <v>625</v>
      </c>
      <c r="AA25" s="451" t="s">
        <v>626</v>
      </c>
      <c r="AB25" s="451" t="s">
        <v>625</v>
      </c>
      <c r="AC25" s="451" t="s">
        <v>626</v>
      </c>
      <c r="AD25" s="844"/>
      <c r="AE25" s="451" t="s">
        <v>625</v>
      </c>
      <c r="AF25" s="451" t="s">
        <v>626</v>
      </c>
      <c r="AG25" s="451" t="s">
        <v>625</v>
      </c>
      <c r="AH25" s="451" t="s">
        <v>626</v>
      </c>
      <c r="AI25" s="844"/>
      <c r="AJ25" s="273"/>
    </row>
    <row r="26" spans="4:36">
      <c r="X26" s="202"/>
      <c r="Y26" s="548" t="s">
        <v>769</v>
      </c>
      <c r="Z26" s="588">
        <v>1</v>
      </c>
      <c r="AA26" s="588">
        <f>I5</f>
        <v>0</v>
      </c>
      <c r="AB26" s="588">
        <v>1</v>
      </c>
      <c r="AC26" s="588">
        <f>I6</f>
        <v>0</v>
      </c>
      <c r="AD26" s="554" t="s">
        <v>840</v>
      </c>
      <c r="AE26" s="588">
        <v>1</v>
      </c>
      <c r="AF26" s="588">
        <f>I7</f>
        <v>0</v>
      </c>
      <c r="AG26" s="588">
        <v>1</v>
      </c>
      <c r="AH26" s="588">
        <f>I8</f>
        <v>0</v>
      </c>
      <c r="AI26" s="554" t="s">
        <v>840</v>
      </c>
      <c r="AJ26" s="273"/>
    </row>
    <row r="27" spans="4:36" ht="14.4">
      <c r="X27" s="202"/>
      <c r="Y27" s="548" t="s">
        <v>772</v>
      </c>
      <c r="Z27" s="588">
        <v>15</v>
      </c>
      <c r="AA27" s="588">
        <f>J5</f>
        <v>0</v>
      </c>
      <c r="AB27" s="588">
        <v>15</v>
      </c>
      <c r="AC27" s="588">
        <f>J6</f>
        <v>0</v>
      </c>
      <c r="AD27" s="442" t="s">
        <v>773</v>
      </c>
      <c r="AE27" s="588">
        <v>15</v>
      </c>
      <c r="AF27" s="588">
        <f>J7</f>
        <v>0</v>
      </c>
      <c r="AG27" s="588">
        <v>15</v>
      </c>
      <c r="AH27" s="588">
        <f>J8</f>
        <v>0</v>
      </c>
      <c r="AI27" s="442" t="s">
        <v>773</v>
      </c>
      <c r="AJ27" s="273"/>
    </row>
    <row r="28" spans="4:36" ht="14.4">
      <c r="X28" s="202"/>
      <c r="Y28" s="548" t="s">
        <v>776</v>
      </c>
      <c r="Z28" s="589">
        <v>2.4</v>
      </c>
      <c r="AA28" s="589">
        <f>K5</f>
        <v>0</v>
      </c>
      <c r="AB28" s="589">
        <v>2.4</v>
      </c>
      <c r="AC28" s="589">
        <f>K6</f>
        <v>0</v>
      </c>
      <c r="AD28" s="442" t="s">
        <v>5</v>
      </c>
      <c r="AE28" s="588">
        <v>18500</v>
      </c>
      <c r="AF28" s="588">
        <f>K7</f>
        <v>0</v>
      </c>
      <c r="AG28" s="588">
        <v>18500</v>
      </c>
      <c r="AH28" s="588">
        <f>K8</f>
        <v>0</v>
      </c>
      <c r="AI28" s="442" t="s">
        <v>403</v>
      </c>
      <c r="AJ28" s="273"/>
    </row>
    <row r="29" spans="4:36">
      <c r="X29" s="214"/>
      <c r="Y29" s="548" t="s">
        <v>841</v>
      </c>
      <c r="Z29" s="588">
        <v>1200</v>
      </c>
      <c r="AA29" s="588">
        <f>L5</f>
        <v>0</v>
      </c>
      <c r="AB29" s="588">
        <v>1350</v>
      </c>
      <c r="AC29" s="588">
        <f>L6</f>
        <v>0</v>
      </c>
      <c r="AD29" s="554" t="s">
        <v>842</v>
      </c>
      <c r="AE29" s="590">
        <v>14000</v>
      </c>
      <c r="AF29" s="591">
        <f>L7</f>
        <v>0</v>
      </c>
      <c r="AG29" s="590">
        <v>16000</v>
      </c>
      <c r="AH29" s="591">
        <f>L8</f>
        <v>0</v>
      </c>
      <c r="AI29" s="558" t="s">
        <v>806</v>
      </c>
      <c r="AJ29" s="274"/>
    </row>
    <row r="30" spans="4:36">
      <c r="X30" s="214"/>
      <c r="Y30" s="548" t="s">
        <v>766</v>
      </c>
      <c r="Z30" s="478">
        <v>0.75</v>
      </c>
      <c r="AA30" s="478">
        <f>M5</f>
        <v>0</v>
      </c>
      <c r="AB30" s="478">
        <v>0.7</v>
      </c>
      <c r="AC30" s="478">
        <f>M6</f>
        <v>0</v>
      </c>
      <c r="AD30" s="554"/>
      <c r="AE30" s="592">
        <v>0.35</v>
      </c>
      <c r="AF30" s="592">
        <f>M7</f>
        <v>0</v>
      </c>
      <c r="AG30" s="592">
        <v>0.35</v>
      </c>
      <c r="AH30" s="592">
        <f>M8</f>
        <v>0</v>
      </c>
      <c r="AI30" s="551"/>
      <c r="AJ30" s="214"/>
    </row>
    <row r="31" spans="4:36">
      <c r="X31" s="214"/>
      <c r="Y31" s="548" t="s">
        <v>767</v>
      </c>
      <c r="Z31" s="593">
        <v>65</v>
      </c>
      <c r="AA31" s="593">
        <f>N5</f>
        <v>0</v>
      </c>
      <c r="AB31" s="593">
        <v>100</v>
      </c>
      <c r="AC31" s="593">
        <f>N6</f>
        <v>0</v>
      </c>
      <c r="AD31" s="554" t="s">
        <v>768</v>
      </c>
      <c r="AE31" s="593">
        <v>60</v>
      </c>
      <c r="AF31" s="593">
        <f>N7</f>
        <v>0</v>
      </c>
      <c r="AG31" s="593">
        <v>100</v>
      </c>
      <c r="AH31" s="593">
        <f>N8</f>
        <v>0</v>
      </c>
      <c r="AI31" s="554" t="s">
        <v>768</v>
      </c>
      <c r="AJ31" s="274"/>
    </row>
    <row r="32" spans="4:36" ht="14.25" customHeight="1">
      <c r="X32" s="214"/>
      <c r="Y32" s="548" t="s">
        <v>807</v>
      </c>
      <c r="Z32" s="1005">
        <f>AF32/3.413</f>
        <v>167.0084969235277</v>
      </c>
      <c r="AA32" s="1005"/>
      <c r="AB32" s="1008">
        <f>AH32/3.413</f>
        <v>167.0084969235277</v>
      </c>
      <c r="AC32" s="1009"/>
      <c r="AD32" s="573" t="s">
        <v>808</v>
      </c>
      <c r="AE32" s="1005">
        <v>570</v>
      </c>
      <c r="AF32" s="1005">
        <v>570</v>
      </c>
      <c r="AG32" s="1005">
        <v>570</v>
      </c>
      <c r="AH32" s="1005">
        <v>570</v>
      </c>
      <c r="AI32" s="554" t="s">
        <v>809</v>
      </c>
      <c r="AJ32" s="274"/>
    </row>
    <row r="33" spans="24:36">
      <c r="X33" s="214"/>
      <c r="Y33" s="548" t="s">
        <v>624</v>
      </c>
      <c r="Z33" s="1006">
        <v>12</v>
      </c>
      <c r="AA33" s="1007"/>
      <c r="AB33" s="1006">
        <v>12</v>
      </c>
      <c r="AC33" s="1007"/>
      <c r="AD33" s="581" t="s">
        <v>701</v>
      </c>
      <c r="AE33" s="1006">
        <v>12</v>
      </c>
      <c r="AF33" s="1007"/>
      <c r="AG33" s="1006">
        <v>12</v>
      </c>
      <c r="AH33" s="1007"/>
      <c r="AI33" s="581" t="s">
        <v>701</v>
      </c>
      <c r="AJ33" s="275"/>
    </row>
    <row r="34" spans="24:36">
      <c r="X34" s="143" t="s">
        <v>666</v>
      </c>
      <c r="Y34" s="150"/>
      <c r="Z34" s="206"/>
      <c r="AA34" s="206"/>
      <c r="AB34" s="206"/>
      <c r="AC34" s="206"/>
      <c r="AD34" s="207"/>
      <c r="AE34" s="207"/>
      <c r="AF34" s="208"/>
      <c r="AG34" s="208"/>
      <c r="AH34" s="209"/>
      <c r="AI34" s="208"/>
      <c r="AJ34" s="272"/>
    </row>
    <row r="35" spans="24:36" ht="14.4">
      <c r="X35" s="143"/>
      <c r="Y35" s="914"/>
      <c r="Z35" s="937" t="s">
        <v>362</v>
      </c>
      <c r="AA35" s="938"/>
      <c r="AB35" s="1000"/>
      <c r="AC35" s="1001"/>
      <c r="AD35" s="863"/>
      <c r="AE35" s="937" t="s">
        <v>653</v>
      </c>
      <c r="AF35" s="864"/>
      <c r="AG35" s="864"/>
      <c r="AH35" s="865"/>
      <c r="AI35" s="863"/>
      <c r="AJ35" s="276"/>
    </row>
    <row r="36" spans="24:36" ht="14.4">
      <c r="X36" s="143"/>
      <c r="Y36" s="915"/>
      <c r="Z36" s="1002" t="s">
        <v>836</v>
      </c>
      <c r="AA36" s="1001"/>
      <c r="AB36" s="1002" t="s">
        <v>837</v>
      </c>
      <c r="AC36" s="1001"/>
      <c r="AD36" s="863"/>
      <c r="AE36" s="1002" t="s">
        <v>836</v>
      </c>
      <c r="AF36" s="1001"/>
      <c r="AG36" s="1002" t="s">
        <v>837</v>
      </c>
      <c r="AH36" s="1001"/>
      <c r="AI36" s="863"/>
      <c r="AJ36" s="276"/>
    </row>
    <row r="37" spans="24:36">
      <c r="X37" s="214"/>
      <c r="Y37" s="979"/>
      <c r="Z37" s="451" t="s">
        <v>625</v>
      </c>
      <c r="AA37" s="451" t="s">
        <v>626</v>
      </c>
      <c r="AB37" s="451" t="s">
        <v>625</v>
      </c>
      <c r="AC37" s="451" t="s">
        <v>626</v>
      </c>
      <c r="AD37" s="844"/>
      <c r="AE37" s="451" t="s">
        <v>625</v>
      </c>
      <c r="AF37" s="451" t="s">
        <v>626</v>
      </c>
      <c r="AG37" s="451" t="s">
        <v>625</v>
      </c>
      <c r="AH37" s="451" t="s">
        <v>626</v>
      </c>
      <c r="AI37" s="844"/>
      <c r="AJ37" s="276"/>
    </row>
    <row r="38" spans="24:36">
      <c r="X38" s="214"/>
      <c r="Y38" s="474" t="s">
        <v>843</v>
      </c>
      <c r="Z38" s="1010">
        <f>AD18*AD19</f>
        <v>0</v>
      </c>
      <c r="AA38" s="808"/>
      <c r="AB38" s="1010">
        <f>AE18*AE19</f>
        <v>0</v>
      </c>
      <c r="AC38" s="808"/>
      <c r="AD38" s="447" t="s">
        <v>844</v>
      </c>
      <c r="AE38" s="1010">
        <f>AF18*AF19</f>
        <v>0</v>
      </c>
      <c r="AF38" s="808"/>
      <c r="AG38" s="1010">
        <f>AG18*AG19</f>
        <v>0</v>
      </c>
      <c r="AH38" s="808"/>
      <c r="AI38" s="447" t="s">
        <v>775</v>
      </c>
      <c r="AJ38" s="276"/>
    </row>
    <row r="39" spans="24:36">
      <c r="X39" s="214"/>
      <c r="Y39" s="474" t="s">
        <v>845</v>
      </c>
      <c r="Z39" s="509">
        <f>AD18-(Z27/60)</f>
        <v>-0.25</v>
      </c>
      <c r="AA39" s="509">
        <f>AD18-(AA27/60)</f>
        <v>0</v>
      </c>
      <c r="AB39" s="509">
        <f>AE18-(AB27/60)</f>
        <v>-0.25</v>
      </c>
      <c r="AC39" s="509">
        <f>AE18-(AC27/60)</f>
        <v>0</v>
      </c>
      <c r="AD39" s="447" t="s">
        <v>846</v>
      </c>
      <c r="AE39" s="509">
        <f>AF18-(AE27/60)</f>
        <v>-0.25</v>
      </c>
      <c r="AF39" s="509">
        <f>AF18-(AF27/60)</f>
        <v>0</v>
      </c>
      <c r="AG39" s="509">
        <f>AG18-(AG27/60)</f>
        <v>-0.25</v>
      </c>
      <c r="AH39" s="509">
        <f>AG18-(AH27/60)</f>
        <v>0</v>
      </c>
      <c r="AI39" s="447" t="s">
        <v>846</v>
      </c>
      <c r="AJ39" s="276"/>
    </row>
    <row r="40" spans="24:36">
      <c r="X40" s="214"/>
      <c r="Y40" s="474" t="s">
        <v>847</v>
      </c>
      <c r="Z40" s="509">
        <f>Z39-(Z20/Z31)</f>
        <v>-2.5576923076923075</v>
      </c>
      <c r="AA40" s="509" t="e">
        <f>AA39-(AD20/AA31)</f>
        <v>#DIV/0!</v>
      </c>
      <c r="AB40" s="509">
        <f>AB39-(AE20/AB31)</f>
        <v>-0.25</v>
      </c>
      <c r="AC40" s="509" t="e">
        <f>AC39-(AE20/AC31)</f>
        <v>#DIV/0!</v>
      </c>
      <c r="AD40" s="447" t="s">
        <v>846</v>
      </c>
      <c r="AE40" s="509">
        <f>AE39-(AF20/AE31)</f>
        <v>-0.25</v>
      </c>
      <c r="AF40" s="509" t="e">
        <f>AF39-(AF20/AF31)</f>
        <v>#DIV/0!</v>
      </c>
      <c r="AG40" s="509">
        <f>AG39-(AG20/AG31)</f>
        <v>-0.25</v>
      </c>
      <c r="AH40" s="509" t="e">
        <f>AH39-(AG20/AH31)</f>
        <v>#DIV/0!</v>
      </c>
      <c r="AI40" s="447" t="s">
        <v>846</v>
      </c>
      <c r="AJ40" s="276"/>
    </row>
    <row r="41" spans="24:36">
      <c r="X41" s="227"/>
      <c r="Y41" s="548" t="s">
        <v>848</v>
      </c>
      <c r="Z41" s="577">
        <f>Z28*1000</f>
        <v>2400</v>
      </c>
      <c r="AA41" s="577">
        <f>AA28*1000</f>
        <v>0</v>
      </c>
      <c r="AB41" s="509">
        <f>AB28*1000</f>
        <v>2400</v>
      </c>
      <c r="AC41" s="509">
        <f>AC28*1000</f>
        <v>0</v>
      </c>
      <c r="AD41" s="554" t="s">
        <v>849</v>
      </c>
      <c r="AE41" s="509">
        <f>AE28</f>
        <v>18500</v>
      </c>
      <c r="AF41" s="509">
        <f>AF28</f>
        <v>0</v>
      </c>
      <c r="AG41" s="509">
        <f>AG28</f>
        <v>18500</v>
      </c>
      <c r="AH41" s="509">
        <f>AH28</f>
        <v>0</v>
      </c>
      <c r="AI41" s="558" t="s">
        <v>403</v>
      </c>
      <c r="AJ41" s="274"/>
    </row>
    <row r="42" spans="24:36" ht="15" customHeight="1">
      <c r="X42" s="214"/>
      <c r="Y42" s="548" t="s">
        <v>850</v>
      </c>
      <c r="Z42" s="577">
        <f>Z20*(Z32)/Z30</f>
        <v>33401.699384705542</v>
      </c>
      <c r="AA42" s="577" t="e">
        <f>AA20*(Z32)/AA30</f>
        <v>#DIV/0!</v>
      </c>
      <c r="AB42" s="577">
        <f>AB20*(AB32)/AB30</f>
        <v>35787.535055041655</v>
      </c>
      <c r="AC42" s="577" t="e">
        <f>AC20*(AB32)/AC30</f>
        <v>#DIV/0!</v>
      </c>
      <c r="AD42" s="554" t="s">
        <v>849</v>
      </c>
      <c r="AE42" s="577">
        <f>AF20*AE32/AE30</f>
        <v>0</v>
      </c>
      <c r="AF42" s="577" t="e">
        <f>AF20*AF32/AF30</f>
        <v>#DIV/0!</v>
      </c>
      <c r="AG42" s="577">
        <f>AG20*AG32/AG30</f>
        <v>0</v>
      </c>
      <c r="AH42" s="577" t="e">
        <f>AG20*AG32/AH30</f>
        <v>#DIV/0!</v>
      </c>
      <c r="AI42" s="558" t="s">
        <v>403</v>
      </c>
      <c r="AJ42" s="277"/>
    </row>
    <row r="43" spans="24:36">
      <c r="X43" s="214"/>
      <c r="Y43" s="548" t="s">
        <v>851</v>
      </c>
      <c r="Z43" s="577">
        <f>Z29*Z40</f>
        <v>-3069.2307692307691</v>
      </c>
      <c r="AA43" s="577" t="e">
        <f>AA29*AA40</f>
        <v>#DIV/0!</v>
      </c>
      <c r="AB43" s="577">
        <f>AB29*AB40</f>
        <v>-337.5</v>
      </c>
      <c r="AC43" s="577" t="e">
        <f>AC29*AC40</f>
        <v>#DIV/0!</v>
      </c>
      <c r="AD43" s="554" t="s">
        <v>849</v>
      </c>
      <c r="AE43" s="577">
        <f>AE29*AE40</f>
        <v>-3500</v>
      </c>
      <c r="AF43" s="577" t="e">
        <f>AF29*AF40</f>
        <v>#DIV/0!</v>
      </c>
      <c r="AG43" s="577">
        <f>AG29*AG40</f>
        <v>-4000</v>
      </c>
      <c r="AH43" s="577" t="e">
        <f>AH29*AH40</f>
        <v>#DIV/0!</v>
      </c>
      <c r="AI43" s="558" t="s">
        <v>403</v>
      </c>
      <c r="AJ43" s="278"/>
    </row>
    <row r="44" spans="24:36">
      <c r="X44" s="214"/>
      <c r="Y44" s="548" t="s">
        <v>852</v>
      </c>
      <c r="Z44" s="577">
        <f>Z41+Z42+Z43</f>
        <v>32732.468615474772</v>
      </c>
      <c r="AA44" s="577" t="e">
        <f>AA41+AA42+AA43</f>
        <v>#DIV/0!</v>
      </c>
      <c r="AB44" s="577">
        <f>AB41+AB42+AB43</f>
        <v>37850.035055041655</v>
      </c>
      <c r="AC44" s="577" t="e">
        <f>AC41+AC42+AC43</f>
        <v>#DIV/0!</v>
      </c>
      <c r="AD44" s="554" t="s">
        <v>849</v>
      </c>
      <c r="AE44" s="577">
        <f>AE41+AE42+AE43</f>
        <v>15000</v>
      </c>
      <c r="AF44" s="577" t="e">
        <f>AF41+AF42+AF43</f>
        <v>#DIV/0!</v>
      </c>
      <c r="AG44" s="577">
        <f>AG41+AG42+AG43</f>
        <v>14500</v>
      </c>
      <c r="AH44" s="577" t="e">
        <f>AH41+AH42+AH43</f>
        <v>#DIV/0!</v>
      </c>
      <c r="AI44" s="558" t="s">
        <v>403</v>
      </c>
      <c r="AJ44" s="278"/>
    </row>
    <row r="45" spans="24:36">
      <c r="X45" s="143" t="s">
        <v>853</v>
      </c>
      <c r="Y45" s="195"/>
      <c r="Z45" s="197"/>
      <c r="AA45" s="197"/>
      <c r="AB45" s="197"/>
      <c r="AC45" s="206"/>
      <c r="AD45" s="207"/>
      <c r="AE45" s="207"/>
      <c r="AF45" s="208"/>
      <c r="AG45" s="208"/>
      <c r="AH45" s="209"/>
      <c r="AI45" s="208"/>
      <c r="AJ45" s="272"/>
    </row>
    <row r="46" spans="24:36" ht="14.4">
      <c r="X46"/>
      <c r="Y46"/>
      <c r="Z46"/>
      <c r="AA46"/>
      <c r="AB46"/>
      <c r="AC46"/>
      <c r="AD46"/>
      <c r="AE46"/>
      <c r="AF46"/>
      <c r="AG46"/>
      <c r="AH46"/>
      <c r="AI46"/>
      <c r="AJ46"/>
    </row>
    <row r="47" spans="24:36">
      <c r="X47" s="214"/>
      <c r="Y47" s="1011"/>
      <c r="Z47" s="1012"/>
      <c r="AA47" s="451" t="s">
        <v>625</v>
      </c>
      <c r="AB47" s="451" t="s">
        <v>626</v>
      </c>
      <c r="AC47" s="451" t="s">
        <v>2</v>
      </c>
      <c r="AD47" s="459"/>
      <c r="AE47" s="451" t="s">
        <v>439</v>
      </c>
      <c r="AF47" s="149"/>
      <c r="AG47" s="149"/>
      <c r="AH47" s="149"/>
      <c r="AI47" s="274"/>
      <c r="AJ47" s="274"/>
    </row>
    <row r="48" spans="24:36">
      <c r="X48" s="215"/>
      <c r="Y48" s="1013" t="s">
        <v>362</v>
      </c>
      <c r="Z48" s="517" t="s">
        <v>836</v>
      </c>
      <c r="AA48" s="577">
        <f>Z44*AD19/1000</f>
        <v>0</v>
      </c>
      <c r="AB48" s="577">
        <f>IFERROR(AA44*AD19/1000,0)</f>
        <v>0</v>
      </c>
      <c r="AC48" s="467">
        <f>H5*(AA48-AB48)</f>
        <v>0</v>
      </c>
      <c r="AD48" s="1014" t="s">
        <v>5</v>
      </c>
      <c r="AE48" s="494">
        <f>IF(AC48=0,0,H5*'Incentive Levels'!$F$31)</f>
        <v>0</v>
      </c>
      <c r="AF48" s="149"/>
      <c r="AG48" s="149"/>
      <c r="AH48" s="149"/>
      <c r="AI48" s="274"/>
      <c r="AJ48" s="274"/>
    </row>
    <row r="49" spans="24:36">
      <c r="X49" s="215"/>
      <c r="Y49" s="1013"/>
      <c r="Z49" s="517" t="s">
        <v>837</v>
      </c>
      <c r="AA49" s="577">
        <f>AB44*AE19/1000</f>
        <v>0</v>
      </c>
      <c r="AB49" s="577">
        <f>IFERROR(AC44*AE19/1000,0)</f>
        <v>0</v>
      </c>
      <c r="AC49" s="467">
        <f t="shared" ref="AC49:AC51" si="1">H6*(AA49-AB49)</f>
        <v>0</v>
      </c>
      <c r="AD49" s="1015"/>
      <c r="AE49" s="494">
        <f>IF(AC49=0,0,H6*'Incentive Levels'!$F$31)</f>
        <v>0</v>
      </c>
      <c r="AF49" s="149"/>
      <c r="AG49" s="149"/>
      <c r="AH49" s="149"/>
      <c r="AI49" s="274"/>
      <c r="AJ49" s="274"/>
    </row>
    <row r="50" spans="24:36">
      <c r="X50" s="215"/>
      <c r="Y50" s="1013" t="s">
        <v>653</v>
      </c>
      <c r="Z50" s="517" t="s">
        <v>836</v>
      </c>
      <c r="AA50" s="577">
        <f>AE44*AF19/100000</f>
        <v>0</v>
      </c>
      <c r="AB50" s="577">
        <f>IFERROR(AF44*AF19/100000,0)</f>
        <v>0</v>
      </c>
      <c r="AC50" s="467">
        <f t="shared" si="1"/>
        <v>0</v>
      </c>
      <c r="AD50" s="1016" t="s">
        <v>6</v>
      </c>
      <c r="AE50" s="494">
        <f>IF(AC50=0,0,H7*'Incentive Levels'!$F$31)</f>
        <v>0</v>
      </c>
      <c r="AF50" s="149"/>
      <c r="AG50" s="149"/>
      <c r="AH50" s="149"/>
      <c r="AI50" s="274"/>
      <c r="AJ50" s="274"/>
    </row>
    <row r="51" spans="24:36">
      <c r="X51" s="215"/>
      <c r="Y51" s="1013"/>
      <c r="Z51" s="517" t="s">
        <v>837</v>
      </c>
      <c r="AA51" s="577">
        <f>AG44*AG19/100000</f>
        <v>0</v>
      </c>
      <c r="AB51" s="577">
        <f>IFERROR(AH44*AG19/100000,0)</f>
        <v>0</v>
      </c>
      <c r="AC51" s="467">
        <f t="shared" si="1"/>
        <v>0</v>
      </c>
      <c r="AD51" s="1016"/>
      <c r="AE51" s="494">
        <f>IF(AC51=0,0,H8*'Incentive Levels'!$F$31)</f>
        <v>0</v>
      </c>
      <c r="AF51" s="149"/>
      <c r="AG51" s="149"/>
      <c r="AH51" s="149"/>
      <c r="AI51" s="274"/>
      <c r="AJ51" s="274"/>
    </row>
  </sheetData>
  <sheetProtection algorithmName="SHA-512" hashValue="JDLkYyY1pSB3lxGuxjhc9BkG7x8kmnq38XJE3gj8UQ0LhRtVIUQlkmze20th4W9fTXmEbBjNwdjvi1vqMemOSw==" saltValue="EQLZU0qWIugO7ORsGcANGw==" spinCount="100000" sheet="1" objects="1" scenarios="1"/>
  <protectedRanges>
    <protectedRange sqref="D5:E8 H5:Q8" name="Range1"/>
  </protectedRanges>
  <mergeCells count="51">
    <mergeCell ref="A2:A3"/>
    <mergeCell ref="B2:B3"/>
    <mergeCell ref="Y50:Y51"/>
    <mergeCell ref="AD50:AD51"/>
    <mergeCell ref="D2:Q2"/>
    <mergeCell ref="Z38:AA38"/>
    <mergeCell ref="AB38:AC38"/>
    <mergeCell ref="Y35:Y37"/>
    <mergeCell ref="Z35:AC35"/>
    <mergeCell ref="AD35:AD37"/>
    <mergeCell ref="C2:C3"/>
    <mergeCell ref="F5:F6"/>
    <mergeCell ref="F7:F8"/>
    <mergeCell ref="Y15:Y17"/>
    <mergeCell ref="Z15:AC15"/>
    <mergeCell ref="S2:V2"/>
    <mergeCell ref="AE38:AF38"/>
    <mergeCell ref="AG38:AH38"/>
    <mergeCell ref="Y47:Z47"/>
    <mergeCell ref="Y48:Y49"/>
    <mergeCell ref="AD48:AD49"/>
    <mergeCell ref="AE35:AH35"/>
    <mergeCell ref="AI35:AI37"/>
    <mergeCell ref="Z36:AA36"/>
    <mergeCell ref="AB36:AC36"/>
    <mergeCell ref="AE36:AF36"/>
    <mergeCell ref="AG36:AH36"/>
    <mergeCell ref="AE32:AF32"/>
    <mergeCell ref="AG32:AH32"/>
    <mergeCell ref="Z33:AA33"/>
    <mergeCell ref="AB33:AC33"/>
    <mergeCell ref="AE33:AF33"/>
    <mergeCell ref="AG33:AH33"/>
    <mergeCell ref="Z32:AA32"/>
    <mergeCell ref="AB32:AC32"/>
    <mergeCell ref="AI16:AJ21"/>
    <mergeCell ref="Y23:Y25"/>
    <mergeCell ref="Z23:AC23"/>
    <mergeCell ref="AD23:AD25"/>
    <mergeCell ref="AE23:AH23"/>
    <mergeCell ref="AI23:AI25"/>
    <mergeCell ref="Z24:AA24"/>
    <mergeCell ref="AB24:AC24"/>
    <mergeCell ref="AE24:AF24"/>
    <mergeCell ref="AG24:AH24"/>
    <mergeCell ref="AH15:AH17"/>
    <mergeCell ref="Z16:AA16"/>
    <mergeCell ref="AB16:AC16"/>
    <mergeCell ref="AD16:AE16"/>
    <mergeCell ref="AF16:AG16"/>
    <mergeCell ref="AD15:AG15"/>
  </mergeCells>
  <dataValidations disablePrompts="1" count="1">
    <dataValidation type="decimal" allowBlank="1" showInputMessage="1" showErrorMessage="1" sqref="D1:F1" xr:uid="{1EF391F0-069E-43D8-B12F-F534D32D2845}">
      <formula1>0</formula1>
      <formula2>999999999999999000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6492-6E78-463A-B4BC-8FCD227671A3}">
  <sheetPr codeName="Sheet12">
    <tabColor theme="4" tint="0.39997558519241921"/>
  </sheetPr>
  <dimension ref="A1:AI56"/>
  <sheetViews>
    <sheetView topLeftCell="C1" zoomScaleNormal="100" workbookViewId="0">
      <selection activeCell="C1" sqref="C1"/>
    </sheetView>
  </sheetViews>
  <sheetFormatPr defaultColWidth="0" defaultRowHeight="13.8"/>
  <cols>
    <col min="1" max="1" width="7.5546875" style="6" hidden="1" customWidth="1"/>
    <col min="2" max="2" width="8" style="6" hidden="1" customWidth="1"/>
    <col min="3" max="3" width="6.5546875" style="6" customWidth="1"/>
    <col min="4" max="4" width="11.6640625" style="6" bestFit="1" customWidth="1"/>
    <col min="5" max="5" width="16.109375" style="6" customWidth="1"/>
    <col min="6" max="6" width="21" style="6" customWidth="1"/>
    <col min="7" max="7" width="24.5546875" style="6" bestFit="1" customWidth="1"/>
    <col min="8" max="8" width="8.5546875" style="6" customWidth="1"/>
    <col min="9" max="9" width="10.88671875" style="6" customWidth="1"/>
    <col min="10" max="11" width="12.6640625" style="6" customWidth="1"/>
    <col min="12" max="12" width="14.44140625" style="6" bestFit="1" customWidth="1"/>
    <col min="13" max="14" width="14.109375" style="6" customWidth="1"/>
    <col min="15" max="15" width="17.109375" style="6" customWidth="1"/>
    <col min="16" max="17" width="11.109375" style="6" customWidth="1"/>
    <col min="18" max="18" width="13.109375" style="6" customWidth="1"/>
    <col min="19" max="19" width="2.6640625" style="6" customWidth="1"/>
    <col min="20" max="21" width="14.6640625" style="6" customWidth="1"/>
    <col min="22" max="22" width="10.5546875" style="6" customWidth="1"/>
    <col min="23" max="23" width="7.88671875" style="6" customWidth="1"/>
    <col min="24" max="24" width="34.5546875" style="6" hidden="1" customWidth="1"/>
    <col min="25" max="26" width="15" style="6" hidden="1" customWidth="1"/>
    <col min="27" max="28" width="17.88671875" style="6" hidden="1" customWidth="1"/>
    <col min="29" max="29" width="10.5546875" style="6" hidden="1" customWidth="1"/>
    <col min="30" max="30" width="15" style="6" hidden="1" customWidth="1"/>
    <col min="31" max="32" width="17.88671875" style="6" hidden="1" customWidth="1"/>
    <col min="33" max="33" width="15" style="6" hidden="1" customWidth="1"/>
    <col min="34" max="16384" width="10" style="6" hidden="1"/>
  </cols>
  <sheetData>
    <row r="1" spans="1:35" s="7" customFormat="1" ht="25.2">
      <c r="C1" s="30" t="s">
        <v>829</v>
      </c>
      <c r="D1" s="9"/>
      <c r="E1" s="9"/>
      <c r="F1" s="9"/>
      <c r="G1" s="8"/>
      <c r="H1" s="8"/>
      <c r="I1" s="8"/>
      <c r="J1" s="8"/>
      <c r="K1" s="8"/>
      <c r="L1" s="8"/>
      <c r="T1" s="6"/>
      <c r="U1" s="6"/>
      <c r="V1" s="6"/>
      <c r="W1" s="6"/>
    </row>
    <row r="2" spans="1:35" s="10" customFormat="1" ht="15" customHeight="1">
      <c r="A2" s="926" t="s">
        <v>118</v>
      </c>
      <c r="B2" s="928" t="s">
        <v>255</v>
      </c>
      <c r="C2" s="866" t="s">
        <v>589</v>
      </c>
      <c r="D2" s="867" t="s">
        <v>590</v>
      </c>
      <c r="E2" s="868"/>
      <c r="F2" s="868"/>
      <c r="G2" s="868"/>
      <c r="H2" s="868"/>
      <c r="I2" s="868"/>
      <c r="J2" s="868"/>
      <c r="K2" s="868"/>
      <c r="L2" s="868"/>
      <c r="M2" s="868"/>
      <c r="N2" s="868"/>
      <c r="O2" s="868"/>
      <c r="P2" s="868"/>
      <c r="Q2" s="868"/>
      <c r="R2" s="868"/>
      <c r="S2" s="6"/>
      <c r="T2" s="868" t="s">
        <v>591</v>
      </c>
      <c r="U2" s="868"/>
      <c r="V2" s="868"/>
      <c r="W2" s="6"/>
    </row>
    <row r="3" spans="1:35" s="127" customFormat="1" ht="45" customHeight="1">
      <c r="A3" s="927"/>
      <c r="B3" s="929"/>
      <c r="C3" s="866"/>
      <c r="D3" s="424" t="s">
        <v>592</v>
      </c>
      <c r="E3" s="424" t="s">
        <v>593</v>
      </c>
      <c r="F3" s="425" t="s">
        <v>99</v>
      </c>
      <c r="G3" s="425" t="s">
        <v>221</v>
      </c>
      <c r="H3" s="424" t="s">
        <v>594</v>
      </c>
      <c r="I3" s="424" t="s">
        <v>854</v>
      </c>
      <c r="J3" s="424" t="s">
        <v>855</v>
      </c>
      <c r="K3" s="424" t="s">
        <v>856</v>
      </c>
      <c r="L3" s="424" t="s">
        <v>857</v>
      </c>
      <c r="M3" s="424" t="s">
        <v>830</v>
      </c>
      <c r="N3" s="424" t="s">
        <v>858</v>
      </c>
      <c r="O3" s="424" t="s">
        <v>859</v>
      </c>
      <c r="P3" s="424" t="s">
        <v>833</v>
      </c>
      <c r="Q3" s="424" t="s">
        <v>834</v>
      </c>
      <c r="R3" s="424" t="s">
        <v>835</v>
      </c>
      <c r="S3" s="6"/>
      <c r="T3" s="423" t="s">
        <v>600</v>
      </c>
      <c r="U3" s="423" t="s">
        <v>6</v>
      </c>
      <c r="V3" s="423" t="s">
        <v>601</v>
      </c>
      <c r="W3" s="6"/>
    </row>
    <row r="4" spans="1:35" s="127" customFormat="1">
      <c r="A4" s="428"/>
      <c r="B4" s="428"/>
      <c r="C4" s="427" t="s">
        <v>602</v>
      </c>
      <c r="D4" s="428"/>
      <c r="E4" s="428"/>
      <c r="F4" s="428" t="s">
        <v>364</v>
      </c>
      <c r="G4" s="428" t="s">
        <v>860</v>
      </c>
      <c r="H4" s="428">
        <v>1</v>
      </c>
      <c r="I4" s="428">
        <v>3</v>
      </c>
      <c r="J4" s="428">
        <v>2</v>
      </c>
      <c r="K4" s="428">
        <v>0.7</v>
      </c>
      <c r="L4" s="428">
        <v>1</v>
      </c>
      <c r="M4" s="428">
        <v>15</v>
      </c>
      <c r="N4" s="428">
        <v>2000</v>
      </c>
      <c r="O4" s="428">
        <v>320</v>
      </c>
      <c r="P4" s="428">
        <v>12</v>
      </c>
      <c r="Q4" s="428">
        <v>365</v>
      </c>
      <c r="R4" s="428">
        <v>100</v>
      </c>
      <c r="S4" s="6"/>
      <c r="T4" s="594" t="s">
        <v>332</v>
      </c>
      <c r="U4" s="595">
        <v>1056</v>
      </c>
      <c r="V4" s="596">
        <v>175</v>
      </c>
      <c r="W4" s="6"/>
    </row>
    <row r="5" spans="1:35" s="10" customFormat="1">
      <c r="A5" s="431" t="str">
        <f>IF(Summary!$C$7="","",Summary!$C$7)</f>
        <v/>
      </c>
      <c r="B5" s="428">
        <f>IFERROR(IF(ISNUMBER(MATCH(Summary!$C$8,Lookups!$B$143:$B$196,0)),"Wilmington, DE",IF(ISNUMBER(MATCH(Summary!$C$8,Lookups!$C$143:$C$187,0)),"Dover, DE",0)),"")</f>
        <v>0</v>
      </c>
      <c r="C5" s="428">
        <v>1</v>
      </c>
      <c r="D5" s="433"/>
      <c r="E5" s="433"/>
      <c r="F5" s="869" t="s">
        <v>362</v>
      </c>
      <c r="G5" s="428" t="s">
        <v>861</v>
      </c>
      <c r="H5" s="435"/>
      <c r="I5" s="461"/>
      <c r="J5" s="435"/>
      <c r="K5" s="438"/>
      <c r="L5" s="597"/>
      <c r="M5" s="461"/>
      <c r="N5" s="461"/>
      <c r="O5" s="461"/>
      <c r="P5" s="461"/>
      <c r="Q5" s="461"/>
      <c r="R5" s="461"/>
      <c r="S5" s="6"/>
      <c r="T5" s="595">
        <f>AA51</f>
        <v>0</v>
      </c>
      <c r="U5" s="543" t="s">
        <v>332</v>
      </c>
      <c r="V5" s="596">
        <f>AC51</f>
        <v>0</v>
      </c>
      <c r="W5" s="6"/>
    </row>
    <row r="6" spans="1:35" s="10" customFormat="1">
      <c r="A6" s="431" t="str">
        <f>IF(Summary!$C$7="","",Summary!$C$7)</f>
        <v/>
      </c>
      <c r="B6" s="428">
        <f>IFERROR(IF(ISNUMBER(MATCH(Summary!$C$8,Lookups!$B$143:$B$196,0)),"Wilmington, DE",IF(ISNUMBER(MATCH(Summary!$C$8,Lookups!$C$143:$C$187,0)),"Dover, DE",0)),"")</f>
        <v>0</v>
      </c>
      <c r="C6" s="428">
        <v>2</v>
      </c>
      <c r="D6" s="433"/>
      <c r="E6" s="433"/>
      <c r="F6" s="871"/>
      <c r="G6" s="428" t="s">
        <v>860</v>
      </c>
      <c r="H6" s="435"/>
      <c r="I6" s="461"/>
      <c r="J6" s="435"/>
      <c r="K6" s="438"/>
      <c r="L6" s="597"/>
      <c r="M6" s="461"/>
      <c r="N6" s="461"/>
      <c r="O6" s="461"/>
      <c r="P6" s="461"/>
      <c r="Q6" s="461"/>
      <c r="R6" s="461"/>
      <c r="S6" s="6"/>
      <c r="T6" s="595">
        <f>AA52</f>
        <v>0</v>
      </c>
      <c r="U6" s="543" t="s">
        <v>332</v>
      </c>
      <c r="V6" s="596">
        <f>AC52</f>
        <v>0</v>
      </c>
      <c r="W6" s="6"/>
    </row>
    <row r="7" spans="1:35" s="10" customFormat="1">
      <c r="A7" s="431" t="str">
        <f>IF(Summary!$C$7="","",Summary!$C$7)</f>
        <v/>
      </c>
      <c r="B7" s="428">
        <f>IFERROR(IF(ISNUMBER(MATCH(Summary!$C$8,Lookups!$B$143:$B$196,0)),"Wilmington, DE",IF(ISNUMBER(MATCH(Summary!$C$8,Lookups!$C$143:$C$187,0)),"Dover, DE",0)),"")</f>
        <v>0</v>
      </c>
      <c r="C7" s="428">
        <v>3</v>
      </c>
      <c r="D7" s="433"/>
      <c r="E7" s="433"/>
      <c r="F7" s="869" t="s">
        <v>364</v>
      </c>
      <c r="G7" s="428" t="s">
        <v>861</v>
      </c>
      <c r="H7" s="435"/>
      <c r="I7" s="461"/>
      <c r="J7" s="435"/>
      <c r="K7" s="438"/>
      <c r="L7" s="597"/>
      <c r="M7" s="461"/>
      <c r="N7" s="461"/>
      <c r="O7" s="461"/>
      <c r="P7" s="461"/>
      <c r="Q7" s="461"/>
      <c r="R7" s="461"/>
      <c r="S7" s="6"/>
      <c r="T7" s="543" t="s">
        <v>332</v>
      </c>
      <c r="U7" s="595">
        <f>AA54</f>
        <v>0</v>
      </c>
      <c r="V7" s="596">
        <f>AC54</f>
        <v>0</v>
      </c>
      <c r="W7" s="6"/>
    </row>
    <row r="8" spans="1:35" s="10" customFormat="1">
      <c r="A8" s="431" t="str">
        <f>IF(Summary!$C$7="","",Summary!$C$7)</f>
        <v/>
      </c>
      <c r="B8" s="428">
        <f>IFERROR(IF(ISNUMBER(MATCH(Summary!$C$8,Lookups!$B$143:$B$196,0)),"Wilmington, DE",IF(ISNUMBER(MATCH(Summary!$C$8,Lookups!$C$143:$C$187,0)),"Dover, DE",0)),"")</f>
        <v>0</v>
      </c>
      <c r="C8" s="428">
        <v>4</v>
      </c>
      <c r="D8" s="433"/>
      <c r="E8" s="433"/>
      <c r="F8" s="871"/>
      <c r="G8" s="428" t="s">
        <v>860</v>
      </c>
      <c r="H8" s="435"/>
      <c r="I8" s="461"/>
      <c r="J8" s="435"/>
      <c r="K8" s="438"/>
      <c r="L8" s="597"/>
      <c r="M8" s="461"/>
      <c r="N8" s="461"/>
      <c r="O8" s="461"/>
      <c r="P8" s="461"/>
      <c r="Q8" s="461"/>
      <c r="R8" s="461"/>
      <c r="S8" s="6"/>
      <c r="T8" s="543" t="s">
        <v>332</v>
      </c>
      <c r="U8" s="595">
        <f>AA55</f>
        <v>0</v>
      </c>
      <c r="V8" s="596">
        <f>AC55</f>
        <v>0</v>
      </c>
      <c r="W8" s="6"/>
    </row>
    <row r="9" spans="1:35" s="10" customFormat="1">
      <c r="C9" s="124" t="s">
        <v>862</v>
      </c>
      <c r="D9" s="129"/>
      <c r="E9" s="129"/>
      <c r="F9" s="129"/>
      <c r="G9" s="129"/>
      <c r="L9" s="129"/>
      <c r="M9" s="129"/>
      <c r="N9" s="129"/>
      <c r="O9" s="129"/>
      <c r="T9" s="6"/>
      <c r="U9" s="6"/>
      <c r="V9" s="6"/>
      <c r="W9" s="6"/>
    </row>
    <row r="10" spans="1:35" s="10" customFormat="1">
      <c r="C10" s="131"/>
      <c r="D10" s="129"/>
      <c r="E10" s="129"/>
      <c r="F10" s="129"/>
      <c r="G10" s="129"/>
      <c r="H10" s="129"/>
      <c r="I10" s="129"/>
      <c r="J10" s="129"/>
      <c r="K10" s="129"/>
      <c r="L10" s="129"/>
      <c r="T10" s="6"/>
      <c r="U10" s="6"/>
      <c r="V10" s="6"/>
      <c r="W10" s="6"/>
    </row>
    <row r="13" spans="1:35">
      <c r="X13" s="217"/>
      <c r="Y13" s="217"/>
      <c r="Z13" s="217"/>
      <c r="AA13" s="217"/>
      <c r="AB13" s="217"/>
      <c r="AC13" s="217"/>
      <c r="AD13" s="217"/>
      <c r="AE13" s="217"/>
      <c r="AF13" s="217"/>
      <c r="AG13" s="217"/>
    </row>
    <row r="14" spans="1:35" ht="14.4">
      <c r="X14" s="150"/>
      <c r="Y14"/>
      <c r="Z14" s="199"/>
      <c r="AA14" s="271">
        <v>0</v>
      </c>
      <c r="AB14" s="271">
        <v>0</v>
      </c>
      <c r="AC14"/>
      <c r="AD14"/>
      <c r="AE14" s="199"/>
      <c r="AF14" s="200"/>
      <c r="AG14" s="201"/>
      <c r="AH14" s="250"/>
      <c r="AI14" s="206"/>
    </row>
    <row r="15" spans="1:35">
      <c r="X15" s="914"/>
      <c r="Y15" s="937" t="s">
        <v>609</v>
      </c>
      <c r="Z15" s="938"/>
      <c r="AA15" s="938"/>
      <c r="AB15" s="939"/>
      <c r="AC15" s="980" t="s">
        <v>610</v>
      </c>
      <c r="AD15" s="980"/>
      <c r="AE15" s="980"/>
      <c r="AF15" s="980"/>
      <c r="AG15" s="201"/>
      <c r="AH15" s="250"/>
      <c r="AI15" s="206"/>
    </row>
    <row r="16" spans="1:35" ht="14.25" customHeight="1">
      <c r="X16" s="915"/>
      <c r="Y16" s="937" t="s">
        <v>861</v>
      </c>
      <c r="Z16" s="939"/>
      <c r="AA16" s="937" t="s">
        <v>863</v>
      </c>
      <c r="AB16" s="939"/>
      <c r="AC16" s="937" t="s">
        <v>861</v>
      </c>
      <c r="AD16" s="939"/>
      <c r="AE16" s="937" t="s">
        <v>863</v>
      </c>
      <c r="AF16" s="939"/>
      <c r="AG16" s="201"/>
      <c r="AH16" s="250"/>
      <c r="AI16" s="206"/>
    </row>
    <row r="17" spans="4:35" ht="14.25" customHeight="1">
      <c r="X17" s="979"/>
      <c r="Y17" s="546" t="s">
        <v>362</v>
      </c>
      <c r="Z17" s="546" t="s">
        <v>653</v>
      </c>
      <c r="AA17" s="546" t="s">
        <v>362</v>
      </c>
      <c r="AB17" s="546" t="s">
        <v>653</v>
      </c>
      <c r="AC17" s="546" t="s">
        <v>362</v>
      </c>
      <c r="AD17" s="546" t="s">
        <v>653</v>
      </c>
      <c r="AE17" s="546" t="s">
        <v>362</v>
      </c>
      <c r="AF17" s="546" t="s">
        <v>653</v>
      </c>
      <c r="AG17" s="442"/>
      <c r="AH17" s="993" t="s">
        <v>864</v>
      </c>
      <c r="AI17" s="994"/>
    </row>
    <row r="18" spans="4:35">
      <c r="X18" s="474" t="s">
        <v>774</v>
      </c>
      <c r="Y18" s="467">
        <v>12</v>
      </c>
      <c r="Z18" s="467">
        <v>12</v>
      </c>
      <c r="AA18" s="467">
        <v>12</v>
      </c>
      <c r="AB18" s="467">
        <v>12</v>
      </c>
      <c r="AC18" s="488">
        <f>P5</f>
        <v>0</v>
      </c>
      <c r="AD18" s="488">
        <f>P7</f>
        <v>0</v>
      </c>
      <c r="AE18" s="578">
        <f>P6</f>
        <v>0</v>
      </c>
      <c r="AF18" s="488">
        <f>P8</f>
        <v>0</v>
      </c>
      <c r="AG18" s="450"/>
      <c r="AH18" s="995"/>
      <c r="AI18" s="994"/>
    </row>
    <row r="19" spans="4:35">
      <c r="D19" s="11"/>
      <c r="E19" s="11"/>
      <c r="F19" s="11"/>
      <c r="G19" s="11"/>
      <c r="H19" s="11"/>
      <c r="I19" s="11"/>
      <c r="J19" s="11"/>
      <c r="K19" s="11"/>
      <c r="L19" s="11"/>
      <c r="M19" s="11"/>
      <c r="N19" s="11"/>
      <c r="O19" s="11"/>
      <c r="X19" s="474" t="s">
        <v>616</v>
      </c>
      <c r="Y19" s="467">
        <v>365</v>
      </c>
      <c r="Z19" s="467">
        <v>365</v>
      </c>
      <c r="AA19" s="467">
        <v>365</v>
      </c>
      <c r="AB19" s="467">
        <v>365</v>
      </c>
      <c r="AC19" s="488">
        <f>Q5</f>
        <v>0</v>
      </c>
      <c r="AD19" s="488">
        <f>Q7</f>
        <v>0</v>
      </c>
      <c r="AE19" s="467">
        <f>Q6</f>
        <v>0</v>
      </c>
      <c r="AF19" s="467">
        <f>Q8</f>
        <v>0</v>
      </c>
      <c r="AG19" s="450"/>
      <c r="AH19" s="995"/>
      <c r="AI19" s="994"/>
    </row>
    <row r="20" spans="4:35">
      <c r="D20" s="11"/>
      <c r="E20" s="11"/>
      <c r="F20" s="11"/>
      <c r="G20" s="11"/>
      <c r="H20" s="11"/>
      <c r="I20" s="11"/>
      <c r="J20" s="11"/>
      <c r="K20" s="11"/>
      <c r="L20" s="11"/>
      <c r="M20" s="11"/>
      <c r="N20" s="11"/>
      <c r="O20" s="11"/>
      <c r="X20" s="474" t="s">
        <v>780</v>
      </c>
      <c r="Y20" s="467">
        <v>100</v>
      </c>
      <c r="Z20" s="467">
        <v>100</v>
      </c>
      <c r="AA20" s="467">
        <v>100</v>
      </c>
      <c r="AB20" s="467">
        <v>100</v>
      </c>
      <c r="AC20" s="488">
        <f>R5</f>
        <v>0</v>
      </c>
      <c r="AD20" s="488">
        <f>R7</f>
        <v>0</v>
      </c>
      <c r="AE20" s="578">
        <f>R6</f>
        <v>0</v>
      </c>
      <c r="AF20" s="488">
        <f>R8</f>
        <v>0</v>
      </c>
      <c r="AG20" s="447" t="s">
        <v>781</v>
      </c>
      <c r="AH20" s="995"/>
      <c r="AI20" s="994"/>
    </row>
    <row r="21" spans="4:35">
      <c r="D21" s="11"/>
      <c r="E21" s="11"/>
      <c r="F21" s="11"/>
      <c r="G21" s="11"/>
      <c r="H21" s="11"/>
      <c r="I21" s="11"/>
      <c r="J21" s="11"/>
      <c r="K21" s="11"/>
      <c r="L21" s="11"/>
      <c r="M21" s="11"/>
      <c r="N21" s="11"/>
      <c r="O21" s="11"/>
      <c r="X21" s="474" t="s">
        <v>865</v>
      </c>
      <c r="Y21" s="577">
        <v>3</v>
      </c>
      <c r="Z21" s="577">
        <v>3</v>
      </c>
      <c r="AA21" s="577">
        <v>3</v>
      </c>
      <c r="AB21" s="577">
        <v>3</v>
      </c>
      <c r="AC21" s="488">
        <f>I5</f>
        <v>0</v>
      </c>
      <c r="AD21" s="488">
        <f>I7</f>
        <v>0</v>
      </c>
      <c r="AE21" s="578">
        <f>I6</f>
        <v>0</v>
      </c>
      <c r="AF21" s="488">
        <f>I8</f>
        <v>0</v>
      </c>
      <c r="AG21" s="447" t="s">
        <v>866</v>
      </c>
      <c r="AH21" s="996"/>
      <c r="AI21" s="997"/>
    </row>
    <row r="22" spans="4:35">
      <c r="D22" s="11"/>
      <c r="E22" s="11"/>
      <c r="F22" s="11"/>
      <c r="G22" s="11"/>
      <c r="H22" s="11"/>
      <c r="I22" s="11"/>
      <c r="J22" s="11"/>
      <c r="K22" s="11"/>
      <c r="L22" s="11"/>
      <c r="M22" s="11"/>
      <c r="N22" s="11"/>
      <c r="O22" s="11"/>
      <c r="X22" s="474"/>
      <c r="Y22" s="531"/>
      <c r="Z22" s="531"/>
      <c r="AA22" s="531"/>
      <c r="AB22" s="531"/>
      <c r="AC22" s="531"/>
      <c r="AD22" s="531"/>
      <c r="AE22" s="598"/>
      <c r="AF22" s="531"/>
      <c r="AG22" s="450"/>
      <c r="AH22" s="998"/>
      <c r="AI22" s="999"/>
    </row>
    <row r="23" spans="4:35">
      <c r="X23" s="150"/>
      <c r="Y23" s="206"/>
      <c r="Z23" s="206"/>
      <c r="AA23" s="206"/>
      <c r="AB23" s="208"/>
      <c r="AC23" s="209"/>
      <c r="AD23" s="208"/>
      <c r="AE23" s="251"/>
      <c r="AF23" s="252"/>
      <c r="AG23" s="253"/>
      <c r="AH23" s="254"/>
      <c r="AI23" s="206"/>
    </row>
    <row r="24" spans="4:35">
      <c r="X24" s="863"/>
      <c r="Y24" s="937" t="s">
        <v>362</v>
      </c>
      <c r="Z24" s="938"/>
      <c r="AA24" s="938"/>
      <c r="AB24" s="939"/>
      <c r="AC24" s="863"/>
      <c r="AD24" s="937" t="s">
        <v>653</v>
      </c>
      <c r="AE24" s="938"/>
      <c r="AF24" s="938"/>
      <c r="AG24" s="939"/>
      <c r="AH24" s="863"/>
      <c r="AI24" s="279"/>
    </row>
    <row r="25" spans="4:35" ht="14.25" customHeight="1">
      <c r="X25" s="863"/>
      <c r="Y25" s="937" t="s">
        <v>861</v>
      </c>
      <c r="Z25" s="939"/>
      <c r="AA25" s="937" t="s">
        <v>863</v>
      </c>
      <c r="AB25" s="939"/>
      <c r="AC25" s="863"/>
      <c r="AD25" s="937" t="s">
        <v>861</v>
      </c>
      <c r="AE25" s="939"/>
      <c r="AF25" s="937" t="s">
        <v>863</v>
      </c>
      <c r="AG25" s="939"/>
      <c r="AH25" s="863"/>
      <c r="AI25" s="279"/>
    </row>
    <row r="26" spans="4:35">
      <c r="X26" s="844"/>
      <c r="Y26" s="451" t="s">
        <v>625</v>
      </c>
      <c r="Z26" s="451" t="s">
        <v>626</v>
      </c>
      <c r="AA26" s="451" t="s">
        <v>625</v>
      </c>
      <c r="AB26" s="451" t="s">
        <v>626</v>
      </c>
      <c r="AC26" s="844"/>
      <c r="AD26" s="451" t="s">
        <v>625</v>
      </c>
      <c r="AE26" s="451" t="s">
        <v>626</v>
      </c>
      <c r="AF26" s="451" t="s">
        <v>625</v>
      </c>
      <c r="AG26" s="451" t="s">
        <v>626</v>
      </c>
      <c r="AH26" s="844"/>
      <c r="AI26" s="280"/>
    </row>
    <row r="27" spans="4:35" ht="14.4">
      <c r="X27" s="474" t="s">
        <v>867</v>
      </c>
      <c r="Y27" s="1029">
        <f>J5</f>
        <v>0</v>
      </c>
      <c r="Z27" s="1028"/>
      <c r="AA27" s="1029">
        <f>J6</f>
        <v>0</v>
      </c>
      <c r="AB27" s="1028"/>
      <c r="AC27" s="554" t="s">
        <v>866</v>
      </c>
      <c r="AD27" s="1029">
        <f>J7</f>
        <v>0</v>
      </c>
      <c r="AE27" s="1028"/>
      <c r="AF27" s="1029">
        <f>J8</f>
        <v>0</v>
      </c>
      <c r="AG27" s="1028"/>
      <c r="AH27" s="554" t="s">
        <v>866</v>
      </c>
      <c r="AI27" s="280"/>
    </row>
    <row r="28" spans="4:35">
      <c r="X28" s="548" t="s">
        <v>766</v>
      </c>
      <c r="Y28" s="600">
        <v>0.65</v>
      </c>
      <c r="Z28" s="600">
        <f>K5</f>
        <v>0</v>
      </c>
      <c r="AA28" s="600">
        <v>0.65</v>
      </c>
      <c r="AB28" s="600">
        <f>K6</f>
        <v>0</v>
      </c>
      <c r="AC28" s="554"/>
      <c r="AD28" s="600">
        <v>0.32</v>
      </c>
      <c r="AE28" s="600">
        <f>K7</f>
        <v>0</v>
      </c>
      <c r="AF28" s="600">
        <v>0.32</v>
      </c>
      <c r="AG28" s="600">
        <f>K8</f>
        <v>0</v>
      </c>
      <c r="AH28" s="551"/>
      <c r="AI28" s="280"/>
    </row>
    <row r="29" spans="4:35">
      <c r="X29" s="548" t="s">
        <v>767</v>
      </c>
      <c r="Y29" s="601">
        <f>IFERROR(35/Y41,0)</f>
        <v>0</v>
      </c>
      <c r="Z29" s="601">
        <f>IFERROR(40/Y41,0)</f>
        <v>0</v>
      </c>
      <c r="AA29" s="601">
        <f>IFERROR(70/(AA41),0)</f>
        <v>0</v>
      </c>
      <c r="AB29" s="601">
        <f>IFERROR(83.5/AA41,0)</f>
        <v>0</v>
      </c>
      <c r="AC29" s="554" t="s">
        <v>868</v>
      </c>
      <c r="AD29" s="601">
        <f>IFERROR(25/AD41,0)</f>
        <v>0</v>
      </c>
      <c r="AE29" s="601">
        <f>IFERROR(45/AD41,0)</f>
        <v>0</v>
      </c>
      <c r="AF29" s="601">
        <f>IFERROR(50/AF41,0)</f>
        <v>0</v>
      </c>
      <c r="AG29" s="601">
        <f>IFERROR(69.9/AF41,0)</f>
        <v>0</v>
      </c>
      <c r="AH29" s="554" t="s">
        <v>868</v>
      </c>
      <c r="AI29" s="281"/>
    </row>
    <row r="30" spans="4:35">
      <c r="X30" s="548" t="s">
        <v>769</v>
      </c>
      <c r="Y30" s="602">
        <v>1</v>
      </c>
      <c r="Z30" s="602">
        <f>L5</f>
        <v>0</v>
      </c>
      <c r="AA30" s="602">
        <v>1</v>
      </c>
      <c r="AB30" s="602">
        <f>L6</f>
        <v>0</v>
      </c>
      <c r="AC30" s="554"/>
      <c r="AD30" s="602">
        <v>1</v>
      </c>
      <c r="AE30" s="602">
        <f>L7</f>
        <v>0</v>
      </c>
      <c r="AF30" s="602">
        <v>1</v>
      </c>
      <c r="AG30" s="602">
        <f>L8</f>
        <v>0</v>
      </c>
      <c r="AH30" s="554"/>
      <c r="AI30" s="281"/>
    </row>
    <row r="31" spans="4:35">
      <c r="X31" s="548" t="s">
        <v>772</v>
      </c>
      <c r="Y31" s="588">
        <v>15</v>
      </c>
      <c r="Z31" s="588">
        <f>M5</f>
        <v>0</v>
      </c>
      <c r="AA31" s="588">
        <v>15</v>
      </c>
      <c r="AB31" s="588">
        <f>M6</f>
        <v>0</v>
      </c>
      <c r="AC31" s="554" t="s">
        <v>773</v>
      </c>
      <c r="AD31" s="588">
        <v>15</v>
      </c>
      <c r="AE31" s="588">
        <f>M7</f>
        <v>0</v>
      </c>
      <c r="AF31" s="588">
        <v>15</v>
      </c>
      <c r="AG31" s="588">
        <f>M8</f>
        <v>0</v>
      </c>
      <c r="AH31" s="554" t="s">
        <v>773</v>
      </c>
      <c r="AI31" s="281"/>
    </row>
    <row r="32" spans="4:35" ht="14.25" customHeight="1">
      <c r="X32" s="548" t="s">
        <v>776</v>
      </c>
      <c r="Y32" s="588">
        <v>4000</v>
      </c>
      <c r="Z32" s="588">
        <f>N5</f>
        <v>0</v>
      </c>
      <c r="AA32" s="588">
        <v>4000</v>
      </c>
      <c r="AB32" s="588">
        <f>N6</f>
        <v>0</v>
      </c>
      <c r="AC32" s="554" t="s">
        <v>849</v>
      </c>
      <c r="AD32" s="588">
        <v>21000</v>
      </c>
      <c r="AE32" s="588">
        <f>N7</f>
        <v>0</v>
      </c>
      <c r="AF32" s="588">
        <v>21000</v>
      </c>
      <c r="AG32" s="588">
        <f>N8</f>
        <v>0</v>
      </c>
      <c r="AH32" s="554" t="s">
        <v>849</v>
      </c>
      <c r="AI32" s="281"/>
    </row>
    <row r="33" spans="24:35">
      <c r="X33" s="548" t="s">
        <v>778</v>
      </c>
      <c r="Y33" s="482">
        <f>2400/6</f>
        <v>400</v>
      </c>
      <c r="Z33" s="482">
        <f>O5</f>
        <v>0</v>
      </c>
      <c r="AA33" s="482">
        <f>2400/6</f>
        <v>400</v>
      </c>
      <c r="AB33" s="482">
        <f>O6</f>
        <v>0</v>
      </c>
      <c r="AC33" s="581" t="s">
        <v>869</v>
      </c>
      <c r="AD33" s="482">
        <f>21000/6</f>
        <v>3500</v>
      </c>
      <c r="AE33" s="482">
        <f>O7</f>
        <v>0</v>
      </c>
      <c r="AF33" s="482">
        <f>21000/6</f>
        <v>3500</v>
      </c>
      <c r="AG33" s="482">
        <f>O8</f>
        <v>0</v>
      </c>
      <c r="AH33" s="581" t="s">
        <v>870</v>
      </c>
      <c r="AI33" s="281"/>
    </row>
    <row r="34" spans="24:35" ht="14.4">
      <c r="X34" s="548" t="s">
        <v>807</v>
      </c>
      <c r="Y34" s="1027">
        <v>139</v>
      </c>
      <c r="Z34" s="1028"/>
      <c r="AA34" s="1027">
        <v>139</v>
      </c>
      <c r="AB34" s="1028"/>
      <c r="AC34" s="573" t="s">
        <v>808</v>
      </c>
      <c r="AD34" s="1027">
        <v>475</v>
      </c>
      <c r="AE34" s="1028"/>
      <c r="AF34" s="1027">
        <v>475</v>
      </c>
      <c r="AG34" s="1028"/>
      <c r="AH34" s="554" t="s">
        <v>809</v>
      </c>
      <c r="AI34" s="282"/>
    </row>
    <row r="35" spans="24:35" ht="14.4">
      <c r="X35" s="548" t="s">
        <v>624</v>
      </c>
      <c r="Y35" s="1006">
        <v>12</v>
      </c>
      <c r="Z35" s="1028"/>
      <c r="AA35" s="1006">
        <v>12</v>
      </c>
      <c r="AB35" s="1028"/>
      <c r="AC35" s="581" t="s">
        <v>701</v>
      </c>
      <c r="AD35" s="1006">
        <v>12</v>
      </c>
      <c r="AE35" s="1028"/>
      <c r="AF35" s="1006">
        <v>12</v>
      </c>
      <c r="AG35" s="1028"/>
      <c r="AH35" s="581" t="s">
        <v>701</v>
      </c>
      <c r="AI35" s="281"/>
    </row>
    <row r="36" spans="24:35">
      <c r="X36" s="150"/>
      <c r="Y36" s="206"/>
      <c r="Z36" s="206"/>
      <c r="AA36" s="207"/>
      <c r="AB36" s="208"/>
      <c r="AC36" s="209"/>
      <c r="AD36" s="208"/>
      <c r="AE36" s="251"/>
      <c r="AF36" s="252"/>
      <c r="AG36" s="253"/>
      <c r="AH36" s="254"/>
      <c r="AI36" s="206"/>
    </row>
    <row r="37" spans="24:35" ht="14.25" customHeight="1">
      <c r="X37" s="863"/>
      <c r="Y37" s="937" t="s">
        <v>362</v>
      </c>
      <c r="Z37" s="938"/>
      <c r="AA37" s="938"/>
      <c r="AB37" s="939"/>
      <c r="AC37" s="863"/>
      <c r="AD37" s="937" t="s">
        <v>653</v>
      </c>
      <c r="AE37" s="938"/>
      <c r="AF37" s="938"/>
      <c r="AG37" s="939"/>
      <c r="AH37" s="863"/>
      <c r="AI37" s="283"/>
    </row>
    <row r="38" spans="24:35">
      <c r="X38" s="863"/>
      <c r="Y38" s="937" t="s">
        <v>861</v>
      </c>
      <c r="Z38" s="939"/>
      <c r="AA38" s="937" t="s">
        <v>863</v>
      </c>
      <c r="AB38" s="939"/>
      <c r="AC38" s="863"/>
      <c r="AD38" s="937" t="s">
        <v>861</v>
      </c>
      <c r="AE38" s="939"/>
      <c r="AF38" s="937" t="s">
        <v>863</v>
      </c>
      <c r="AG38" s="939"/>
      <c r="AH38" s="863"/>
      <c r="AI38" s="283"/>
    </row>
    <row r="39" spans="24:35">
      <c r="X39" s="844"/>
      <c r="Y39" s="451" t="s">
        <v>625</v>
      </c>
      <c r="Z39" s="451" t="s">
        <v>626</v>
      </c>
      <c r="AA39" s="451" t="s">
        <v>625</v>
      </c>
      <c r="AB39" s="451" t="s">
        <v>626</v>
      </c>
      <c r="AC39" s="844"/>
      <c r="AD39" s="451" t="s">
        <v>625</v>
      </c>
      <c r="AE39" s="451" t="s">
        <v>626</v>
      </c>
      <c r="AF39" s="451" t="s">
        <v>625</v>
      </c>
      <c r="AG39" s="451" t="s">
        <v>626</v>
      </c>
      <c r="AH39" s="844"/>
      <c r="AI39" s="284"/>
    </row>
    <row r="40" spans="24:35">
      <c r="X40" s="474" t="s">
        <v>871</v>
      </c>
      <c r="Y40" s="1018">
        <f>AC18*AC19</f>
        <v>0</v>
      </c>
      <c r="Z40" s="1019"/>
      <c r="AA40" s="1020">
        <f>AE18*AE19</f>
        <v>0</v>
      </c>
      <c r="AB40" s="1021"/>
      <c r="AC40" s="554" t="s">
        <v>775</v>
      </c>
      <c r="AD40" s="1018">
        <f>AD18*AD19</f>
        <v>0</v>
      </c>
      <c r="AE40" s="1019"/>
      <c r="AF40" s="1020">
        <f>AF18*AF19</f>
        <v>0</v>
      </c>
      <c r="AG40" s="1021"/>
      <c r="AH40" s="554" t="s">
        <v>775</v>
      </c>
      <c r="AI40" s="284"/>
    </row>
    <row r="41" spans="24:35" ht="14.4">
      <c r="X41" s="474" t="s">
        <v>872</v>
      </c>
      <c r="Y41" s="1022">
        <f>AC21*Y27</f>
        <v>0</v>
      </c>
      <c r="Z41" s="1023"/>
      <c r="AA41" s="1024">
        <f>AA27*AE21</f>
        <v>0</v>
      </c>
      <c r="AB41" s="1025"/>
      <c r="AC41" s="554" t="s">
        <v>873</v>
      </c>
      <c r="AD41" s="1022">
        <f>AD21*AD27</f>
        <v>0</v>
      </c>
      <c r="AE41" s="1023"/>
      <c r="AF41" s="1026">
        <f>AF21*AF27</f>
        <v>0</v>
      </c>
      <c r="AG41" s="1001"/>
      <c r="AH41" s="554" t="s">
        <v>873</v>
      </c>
      <c r="AI41" s="284"/>
    </row>
    <row r="42" spans="24:35" ht="15" customHeight="1">
      <c r="X42" s="548" t="s">
        <v>767</v>
      </c>
      <c r="Y42" s="488">
        <f>Y29*Y41</f>
        <v>0</v>
      </c>
      <c r="Z42" s="488">
        <f>Z29*Y41</f>
        <v>0</v>
      </c>
      <c r="AA42" s="488">
        <f>AA41*AA29</f>
        <v>0</v>
      </c>
      <c r="AB42" s="488">
        <f>AA41*AB29</f>
        <v>0</v>
      </c>
      <c r="AC42" s="554" t="s">
        <v>768</v>
      </c>
      <c r="AD42" s="488">
        <f>AD29*AD41</f>
        <v>0</v>
      </c>
      <c r="AE42" s="488">
        <f>AE29*AD41</f>
        <v>0</v>
      </c>
      <c r="AF42" s="488">
        <f>AF41*AF29</f>
        <v>0</v>
      </c>
      <c r="AG42" s="488">
        <f>AF41*AG29</f>
        <v>0</v>
      </c>
      <c r="AH42" s="554" t="s">
        <v>768</v>
      </c>
      <c r="AI42" s="268"/>
    </row>
    <row r="43" spans="24:35">
      <c r="X43" s="548" t="s">
        <v>812</v>
      </c>
      <c r="Y43" s="488">
        <f>Y30*Y32</f>
        <v>4000</v>
      </c>
      <c r="Z43" s="488">
        <f>Z30*Z32</f>
        <v>0</v>
      </c>
      <c r="AA43" s="488">
        <f>AA30*AA32</f>
        <v>4000</v>
      </c>
      <c r="AB43" s="488">
        <f>AB30*AB32</f>
        <v>0</v>
      </c>
      <c r="AC43" s="554" t="s">
        <v>849</v>
      </c>
      <c r="AD43" s="488">
        <f>AD30*AD32</f>
        <v>21000</v>
      </c>
      <c r="AE43" s="488">
        <f>AE30*AE32</f>
        <v>0</v>
      </c>
      <c r="AF43" s="488">
        <f>AF30*AF32</f>
        <v>21000</v>
      </c>
      <c r="AG43" s="488">
        <f>AG30*AG32</f>
        <v>0</v>
      </c>
      <c r="AH43" s="558" t="s">
        <v>403</v>
      </c>
      <c r="AI43" s="268"/>
    </row>
    <row r="44" spans="24:35">
      <c r="X44" s="548" t="s">
        <v>814</v>
      </c>
      <c r="Y44" s="577">
        <f>AC20*Y34/Y28</f>
        <v>0</v>
      </c>
      <c r="Z44" s="577" t="e">
        <f>AC20*Y34/Z28</f>
        <v>#DIV/0!</v>
      </c>
      <c r="AA44" s="577">
        <f>AE20*AA34/AA28</f>
        <v>0</v>
      </c>
      <c r="AB44" s="577" t="e">
        <f>AE20*AA34/AB28</f>
        <v>#DIV/0!</v>
      </c>
      <c r="AC44" s="554" t="s">
        <v>849</v>
      </c>
      <c r="AD44" s="577">
        <f>AD20*AD34/AD28</f>
        <v>0</v>
      </c>
      <c r="AE44" s="577" t="e">
        <f>AD20*AD34/AE28</f>
        <v>#DIV/0!</v>
      </c>
      <c r="AF44" s="577">
        <f>AF20*AF34/AF28</f>
        <v>0</v>
      </c>
      <c r="AG44" s="577" t="e">
        <f>AF20*AF34/AG28</f>
        <v>#DIV/0!</v>
      </c>
      <c r="AH44" s="558" t="s">
        <v>403</v>
      </c>
      <c r="AI44" s="284"/>
    </row>
    <row r="45" spans="24:35">
      <c r="X45" s="548" t="s">
        <v>815</v>
      </c>
      <c r="Y45" s="603" t="e">
        <f>AC18-(AC20/Y42)</f>
        <v>#DIV/0!</v>
      </c>
      <c r="Z45" s="603" t="e">
        <f>AC18-(AC20/Z42)</f>
        <v>#DIV/0!</v>
      </c>
      <c r="AA45" s="603" t="e">
        <f>AE18-(AE20/AA42)</f>
        <v>#DIV/0!</v>
      </c>
      <c r="AB45" s="603" t="e">
        <f>AE18-(AE20/AB42)</f>
        <v>#DIV/0!</v>
      </c>
      <c r="AC45" s="554" t="s">
        <v>775</v>
      </c>
      <c r="AD45" s="603" t="e">
        <f>AD18-(AD20/AD42)</f>
        <v>#DIV/0!</v>
      </c>
      <c r="AE45" s="603" t="e">
        <f>AD18-(AD20/AE42)</f>
        <v>#DIV/0!</v>
      </c>
      <c r="AF45" s="603" t="e">
        <f>AF18-(AF20/AF42)</f>
        <v>#DIV/0!</v>
      </c>
      <c r="AG45" s="603" t="e">
        <f>AF18-(AF20/AG42)</f>
        <v>#DIV/0!</v>
      </c>
      <c r="AH45" s="554" t="s">
        <v>775</v>
      </c>
      <c r="AI45" s="284"/>
    </row>
    <row r="46" spans="24:35">
      <c r="X46" s="548" t="s">
        <v>816</v>
      </c>
      <c r="Y46" s="577" t="e">
        <f>Y33*Y41*Y45</f>
        <v>#DIV/0!</v>
      </c>
      <c r="Z46" s="577" t="e">
        <f>Z33*Y41*Z45</f>
        <v>#DIV/0!</v>
      </c>
      <c r="AA46" s="577" t="e">
        <f>AA33*AA41*AA45</f>
        <v>#DIV/0!</v>
      </c>
      <c r="AB46" s="577" t="e">
        <f>AB33*AA41*AB45</f>
        <v>#DIV/0!</v>
      </c>
      <c r="AC46" s="554" t="s">
        <v>849</v>
      </c>
      <c r="AD46" s="577" t="e">
        <f>AD33*AD41*AD45</f>
        <v>#DIV/0!</v>
      </c>
      <c r="AE46" s="577" t="e">
        <f>AE33*AD41*AE45</f>
        <v>#DIV/0!</v>
      </c>
      <c r="AF46" s="577" t="e">
        <f>AF33*AF41*AF45</f>
        <v>#DIV/0!</v>
      </c>
      <c r="AG46" s="577" t="e">
        <f>AG33*AF41*AG45</f>
        <v>#DIV/0!</v>
      </c>
      <c r="AH46" s="558" t="s">
        <v>403</v>
      </c>
      <c r="AI46" s="285"/>
    </row>
    <row r="47" spans="24:35">
      <c r="X47" s="548" t="s">
        <v>817</v>
      </c>
      <c r="Y47" s="577" t="e">
        <f>Y44+Y46+Y43</f>
        <v>#DIV/0!</v>
      </c>
      <c r="Z47" s="577" t="e">
        <f>Z44+Z46+Z43</f>
        <v>#DIV/0!</v>
      </c>
      <c r="AA47" s="577" t="e">
        <f>AA44+AA46+AA43</f>
        <v>#DIV/0!</v>
      </c>
      <c r="AB47" s="577" t="e">
        <f>AB44+AB46+AB43</f>
        <v>#DIV/0!</v>
      </c>
      <c r="AC47" s="573" t="s">
        <v>849</v>
      </c>
      <c r="AD47" s="577" t="e">
        <f>AD44+AD46+AD43</f>
        <v>#DIV/0!</v>
      </c>
      <c r="AE47" s="577" t="e">
        <f>AE44+AE46+AE43</f>
        <v>#DIV/0!</v>
      </c>
      <c r="AF47" s="577" t="e">
        <f>AF44+AF46+AF43</f>
        <v>#DIV/0!</v>
      </c>
      <c r="AG47" s="577" t="e">
        <f>AG44+AG46+AG43</f>
        <v>#DIV/0!</v>
      </c>
      <c r="AH47" s="558" t="s">
        <v>403</v>
      </c>
      <c r="AI47" s="285"/>
    </row>
    <row r="48" spans="24:35">
      <c r="X48" s="150"/>
      <c r="Y48" s="206"/>
      <c r="Z48" s="206"/>
      <c r="AA48" s="207"/>
      <c r="AB48" s="208"/>
      <c r="AC48" s="209"/>
      <c r="AD48" s="208"/>
      <c r="AE48" s="199"/>
      <c r="AF48" s="200"/>
      <c r="AG48" s="201"/>
      <c r="AH48" s="250"/>
      <c r="AI48" s="206"/>
    </row>
    <row r="49" spans="24:35">
      <c r="X49" s="517"/>
      <c r="Y49" s="451" t="s">
        <v>625</v>
      </c>
      <c r="Z49" s="451" t="s">
        <v>626</v>
      </c>
      <c r="AA49" s="451" t="s">
        <v>2</v>
      </c>
      <c r="AB49" s="459"/>
      <c r="AC49" s="519" t="s">
        <v>439</v>
      </c>
      <c r="AD49" s="149"/>
      <c r="AE49" s="214"/>
      <c r="AF49" s="214"/>
      <c r="AG49" s="214"/>
      <c r="AH49" s="214"/>
      <c r="AI49" s="214"/>
    </row>
    <row r="50" spans="24:35">
      <c r="X50" s="1017" t="s">
        <v>362</v>
      </c>
      <c r="Y50" s="1017"/>
      <c r="Z50" s="1017"/>
      <c r="AA50" s="1017"/>
      <c r="AB50" s="1017"/>
      <c r="AC50" s="467"/>
      <c r="AD50" s="149"/>
      <c r="AE50" s="214"/>
      <c r="AF50" s="214"/>
      <c r="AG50" s="214"/>
      <c r="AH50" s="214"/>
      <c r="AI50" s="214"/>
    </row>
    <row r="51" spans="24:35">
      <c r="X51" s="604" t="s">
        <v>861</v>
      </c>
      <c r="Y51" s="467">
        <f>IFERROR(Y47*AC19/1000,0)</f>
        <v>0</v>
      </c>
      <c r="Z51" s="467">
        <f>IFERROR(Z47*AC19/1000,0)</f>
        <v>0</v>
      </c>
      <c r="AA51" s="467">
        <f>IFERROR(H5*(Y51-Z51),0)</f>
        <v>0</v>
      </c>
      <c r="AB51" s="459" t="s">
        <v>5</v>
      </c>
      <c r="AC51" s="494">
        <f>IF(AA51=0,0,H5*'Incentive Levels'!$F$32)</f>
        <v>0</v>
      </c>
      <c r="AD51" s="149"/>
      <c r="AE51" s="214"/>
      <c r="AF51" s="214"/>
      <c r="AG51" s="214"/>
      <c r="AH51" s="214"/>
      <c r="AI51" s="214"/>
    </row>
    <row r="52" spans="24:35">
      <c r="X52" s="604" t="s">
        <v>863</v>
      </c>
      <c r="Y52" s="467">
        <f>IFERROR(AA47*AE19/1000,0)</f>
        <v>0</v>
      </c>
      <c r="Z52" s="467">
        <f>IFERROR(AB47*AE19/1000,0)</f>
        <v>0</v>
      </c>
      <c r="AA52" s="467">
        <f>IFERROR(H6*(Y52-Z52),0)</f>
        <v>0</v>
      </c>
      <c r="AB52" s="459" t="s">
        <v>5</v>
      </c>
      <c r="AC52" s="494">
        <f>IF(AA52=0,0,H6*'Incentive Levels'!$F$32)</f>
        <v>0</v>
      </c>
      <c r="AD52" s="149"/>
      <c r="AE52" s="214"/>
      <c r="AF52" s="214"/>
      <c r="AG52" s="214"/>
      <c r="AH52" s="214"/>
      <c r="AI52" s="214"/>
    </row>
    <row r="53" spans="24:35">
      <c r="X53" s="1017" t="s">
        <v>653</v>
      </c>
      <c r="Y53" s="1017"/>
      <c r="Z53" s="1017"/>
      <c r="AA53" s="1017"/>
      <c r="AB53" s="1017"/>
      <c r="AC53" s="494"/>
      <c r="AD53" s="149"/>
      <c r="AE53" s="214"/>
      <c r="AF53" s="214"/>
      <c r="AG53" s="214"/>
      <c r="AH53" s="214"/>
      <c r="AI53" s="214"/>
    </row>
    <row r="54" spans="24:35">
      <c r="X54" s="604" t="s">
        <v>861</v>
      </c>
      <c r="Y54" s="467">
        <f>IFERROR(AD47*AD19/100000,0)</f>
        <v>0</v>
      </c>
      <c r="Z54" s="467">
        <f>IFERROR(AE47*AD19/100000,0)</f>
        <v>0</v>
      </c>
      <c r="AA54" s="467">
        <f>IFERROR(H7*(Y54-Z54),0)</f>
        <v>0</v>
      </c>
      <c r="AB54" s="459" t="s">
        <v>6</v>
      </c>
      <c r="AC54" s="494">
        <f>IF(AA54=0,0,H7*'Incentive Levels'!$F$32)</f>
        <v>0</v>
      </c>
      <c r="AD54" s="149"/>
      <c r="AE54" s="214"/>
      <c r="AF54" s="214"/>
      <c r="AG54" s="214"/>
      <c r="AH54" s="214"/>
      <c r="AI54" s="214"/>
    </row>
    <row r="55" spans="24:35">
      <c r="X55" s="604" t="s">
        <v>863</v>
      </c>
      <c r="Y55" s="467">
        <f>IFERROR(AF47*AF19/100000,0)</f>
        <v>0</v>
      </c>
      <c r="Z55" s="467" t="e">
        <f>AG47*AF19/100000</f>
        <v>#DIV/0!</v>
      </c>
      <c r="AA55" s="467">
        <f>IFERROR(H8*(Y55-Z55),0)</f>
        <v>0</v>
      </c>
      <c r="AB55" s="459" t="s">
        <v>6</v>
      </c>
      <c r="AC55" s="494">
        <f>IF(AA55=0,0,H8*'Incentive Levels'!$F$32)</f>
        <v>0</v>
      </c>
      <c r="AD55" s="149"/>
      <c r="AE55" s="214"/>
      <c r="AF55" s="214"/>
      <c r="AG55" s="214"/>
      <c r="AH55" s="214"/>
      <c r="AI55" s="214"/>
    </row>
    <row r="56" spans="24:35">
      <c r="X56" s="234"/>
      <c r="Y56" s="235"/>
      <c r="Z56" s="235"/>
      <c r="AA56" s="233"/>
      <c r="AB56" s="233"/>
      <c r="AC56" s="233"/>
      <c r="AD56" s="233"/>
      <c r="AE56" s="233"/>
      <c r="AF56" s="233"/>
      <c r="AG56" s="210"/>
      <c r="AH56" s="210"/>
      <c r="AI56" s="210"/>
    </row>
  </sheetData>
  <sheetProtection algorithmName="SHA-512" hashValue="Uv8gkkGnIIe8ndNTIUanVVFDqObzWlUvPVHhH4u5ZtiATpsyjolgfIK9JMC0Q/08apa93FMr7VvtUGAAi60diA==" saltValue="+xoM3ilMh+CZBIe7rhg2Vg==" spinCount="100000" sheet="1" objects="1" scenarios="1"/>
  <protectedRanges>
    <protectedRange sqref="D5:E8 H5:R8" name="Range1"/>
  </protectedRanges>
  <mergeCells count="55">
    <mergeCell ref="C2:C3"/>
    <mergeCell ref="D2:R2"/>
    <mergeCell ref="F5:F6"/>
    <mergeCell ref="F7:F8"/>
    <mergeCell ref="X15:X17"/>
    <mergeCell ref="T2:V2"/>
    <mergeCell ref="Y27:Z27"/>
    <mergeCell ref="AA27:AB27"/>
    <mergeCell ref="AD27:AE27"/>
    <mergeCell ref="AF27:AG27"/>
    <mergeCell ref="Y34:Z34"/>
    <mergeCell ref="AA34:AB34"/>
    <mergeCell ref="AD34:AE34"/>
    <mergeCell ref="AC15:AF15"/>
    <mergeCell ref="Y16:Z16"/>
    <mergeCell ref="AA16:AB16"/>
    <mergeCell ref="AC16:AD16"/>
    <mergeCell ref="AE16:AF16"/>
    <mergeCell ref="Y15:AB15"/>
    <mergeCell ref="AH17:AI22"/>
    <mergeCell ref="X24:X26"/>
    <mergeCell ref="Y24:AB24"/>
    <mergeCell ref="AC24:AC26"/>
    <mergeCell ref="AD24:AG24"/>
    <mergeCell ref="AH24:AH26"/>
    <mergeCell ref="Y25:Z25"/>
    <mergeCell ref="AA25:AB25"/>
    <mergeCell ref="AD25:AE25"/>
    <mergeCell ref="AF25:AG25"/>
    <mergeCell ref="AF38:AG38"/>
    <mergeCell ref="X37:X39"/>
    <mergeCell ref="AF34:AG34"/>
    <mergeCell ref="Y35:Z35"/>
    <mergeCell ref="AA35:AB35"/>
    <mergeCell ref="AD35:AE35"/>
    <mergeCell ref="AF35:AG35"/>
    <mergeCell ref="Y37:AB37"/>
    <mergeCell ref="AC37:AC39"/>
    <mergeCell ref="AD37:AG37"/>
    <mergeCell ref="A2:A3"/>
    <mergeCell ref="B2:B3"/>
    <mergeCell ref="X50:AB50"/>
    <mergeCell ref="X53:AB53"/>
    <mergeCell ref="AH37:AH39"/>
    <mergeCell ref="Y40:Z40"/>
    <mergeCell ref="AA40:AB40"/>
    <mergeCell ref="AD40:AE40"/>
    <mergeCell ref="AF40:AG40"/>
    <mergeCell ref="Y41:Z41"/>
    <mergeCell ref="AA41:AB41"/>
    <mergeCell ref="AD41:AE41"/>
    <mergeCell ref="AF41:AG41"/>
    <mergeCell ref="Y38:Z38"/>
    <mergeCell ref="AA38:AB38"/>
    <mergeCell ref="AD38:AE38"/>
  </mergeCells>
  <dataValidations disablePrompts="1" count="1">
    <dataValidation type="decimal" allowBlank="1" showInputMessage="1" showErrorMessage="1" sqref="D1:F1" xr:uid="{5A931C70-74E6-4732-819C-E1441B1D05CD}">
      <formula1>0</formula1>
      <formula2>999999999999999000</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ECA05-37AF-4CFF-AE54-D0543932FC53}">
  <sheetPr codeName="Sheet13">
    <tabColor theme="4" tint="0.39997558519241921"/>
  </sheetPr>
  <dimension ref="A1:Z39"/>
  <sheetViews>
    <sheetView topLeftCell="C1" zoomScaleNormal="100" workbookViewId="0">
      <selection activeCell="C1" sqref="C1"/>
    </sheetView>
  </sheetViews>
  <sheetFormatPr defaultColWidth="0" defaultRowHeight="13.8"/>
  <cols>
    <col min="1" max="1" width="7.5546875" style="6" hidden="1" customWidth="1"/>
    <col min="2" max="2" width="8" style="6" hidden="1" customWidth="1"/>
    <col min="3" max="3" width="5.88671875" style="6" customWidth="1"/>
    <col min="4" max="4" width="11.6640625" style="6" bestFit="1" customWidth="1"/>
    <col min="5" max="5" width="16.109375" style="6" customWidth="1"/>
    <col min="6" max="6" width="8.5546875" style="6" customWidth="1"/>
    <col min="7" max="7" width="10.88671875" style="6" customWidth="1"/>
    <col min="8" max="8" width="17.109375" style="6" customWidth="1"/>
    <col min="9" max="9" width="11.109375" style="6" customWidth="1"/>
    <col min="10" max="10" width="11.88671875" style="6" customWidth="1"/>
    <col min="11" max="11" width="1.88671875" style="6" customWidth="1"/>
    <col min="12" max="12" width="13.109375" style="6" customWidth="1"/>
    <col min="13" max="15" width="10" style="6" customWidth="1"/>
    <col min="16" max="16" width="4.5546875" style="6" customWidth="1"/>
    <col min="17" max="17" width="11.44140625" style="6" bestFit="1" customWidth="1"/>
    <col min="18" max="18" width="12.33203125" style="6" hidden="1" customWidth="1"/>
    <col min="19" max="19" width="8.6640625" style="6" hidden="1" customWidth="1"/>
    <col min="20" max="20" width="21.44140625" style="6" hidden="1" customWidth="1"/>
    <col min="21" max="21" width="13.109375" style="6" hidden="1" customWidth="1"/>
    <col min="22" max="22" width="12.33203125" style="6" hidden="1" customWidth="1"/>
    <col min="23" max="26" width="0" style="6" hidden="1" customWidth="1"/>
    <col min="27" max="16384" width="10" style="6" hidden="1"/>
  </cols>
  <sheetData>
    <row r="1" spans="1:26" s="7" customFormat="1" ht="25.2">
      <c r="C1" s="30" t="s">
        <v>874</v>
      </c>
      <c r="D1" s="9"/>
      <c r="E1" s="9"/>
      <c r="F1" s="8"/>
      <c r="G1" s="8"/>
      <c r="K1" s="6"/>
    </row>
    <row r="2" spans="1:26" s="10" customFormat="1" ht="28.5" customHeight="1">
      <c r="A2" s="926" t="s">
        <v>118</v>
      </c>
      <c r="B2" s="928" t="s">
        <v>255</v>
      </c>
      <c r="C2" s="866" t="s">
        <v>589</v>
      </c>
      <c r="D2" s="1030" t="s">
        <v>590</v>
      </c>
      <c r="E2" s="1030"/>
      <c r="F2" s="1030"/>
      <c r="G2" s="1030"/>
      <c r="H2" s="1030"/>
      <c r="I2" s="1030"/>
      <c r="J2" s="1030"/>
      <c r="K2" s="6"/>
      <c r="L2" s="868" t="s">
        <v>591</v>
      </c>
      <c r="M2" s="868"/>
      <c r="N2" s="868"/>
      <c r="O2" s="868"/>
    </row>
    <row r="3" spans="1:26" s="127" customFormat="1" ht="45" customHeight="1">
      <c r="A3" s="927"/>
      <c r="B3" s="929"/>
      <c r="C3" s="866"/>
      <c r="D3" s="424" t="s">
        <v>592</v>
      </c>
      <c r="E3" s="424" t="s">
        <v>593</v>
      </c>
      <c r="F3" s="424" t="s">
        <v>594</v>
      </c>
      <c r="G3" s="424" t="s">
        <v>875</v>
      </c>
      <c r="H3" s="424" t="s">
        <v>859</v>
      </c>
      <c r="I3" s="424" t="s">
        <v>833</v>
      </c>
      <c r="J3" s="424" t="s">
        <v>834</v>
      </c>
      <c r="K3" s="6"/>
      <c r="L3" s="423" t="s">
        <v>599</v>
      </c>
      <c r="M3" s="423" t="s">
        <v>600</v>
      </c>
      <c r="N3" s="423" t="s">
        <v>6</v>
      </c>
      <c r="O3" s="423" t="s">
        <v>601</v>
      </c>
    </row>
    <row r="4" spans="1:26" s="127" customFormat="1">
      <c r="A4" s="307"/>
      <c r="B4" s="308"/>
      <c r="C4" s="427" t="s">
        <v>602</v>
      </c>
      <c r="D4" s="428"/>
      <c r="E4" s="428"/>
      <c r="F4" s="428">
        <v>1</v>
      </c>
      <c r="G4" s="428">
        <v>15</v>
      </c>
      <c r="H4" s="428">
        <v>284</v>
      </c>
      <c r="I4" s="428">
        <v>12</v>
      </c>
      <c r="J4" s="428">
        <v>365</v>
      </c>
      <c r="K4" s="6"/>
      <c r="L4" s="439">
        <v>0</v>
      </c>
      <c r="M4" s="439">
        <v>727.07999999999993</v>
      </c>
      <c r="N4" s="439">
        <v>0</v>
      </c>
      <c r="O4" s="430">
        <v>250</v>
      </c>
    </row>
    <row r="5" spans="1:26" s="10" customFormat="1">
      <c r="A5" s="431" t="str">
        <f>IF(Summary!$C$7="","",Summary!$C$7)</f>
        <v/>
      </c>
      <c r="B5" s="428">
        <f>IFERROR(IF(ISNUMBER(MATCH(Summary!$C$8,Lookups!$B$143:$B$196,0)),"Wilmington, DE",IF(ISNUMBER(MATCH(Summary!$C$8,Lookups!$C$143:$C$187,0)),"Dover, DE",0)),"")</f>
        <v>0</v>
      </c>
      <c r="C5" s="428">
        <v>1</v>
      </c>
      <c r="D5" s="433"/>
      <c r="E5" s="433"/>
      <c r="F5" s="435"/>
      <c r="G5" s="461"/>
      <c r="H5" s="461"/>
      <c r="I5" s="461"/>
      <c r="J5" s="461"/>
      <c r="K5" s="6"/>
      <c r="L5" s="439">
        <v>0</v>
      </c>
      <c r="M5" s="439">
        <f>W20</f>
        <v>0</v>
      </c>
      <c r="N5" s="439">
        <f>U49</f>
        <v>0</v>
      </c>
      <c r="O5" s="430">
        <f>IF(M5=0,0,F5*'Incentive Levels'!F33)</f>
        <v>0</v>
      </c>
    </row>
    <row r="6" spans="1:26" s="10" customFormat="1">
      <c r="C6" s="124" t="s">
        <v>876</v>
      </c>
      <c r="D6" s="129"/>
      <c r="E6" s="129"/>
      <c r="H6" s="129"/>
      <c r="K6" s="6"/>
    </row>
    <row r="7" spans="1:26" s="10" customFormat="1">
      <c r="C7" s="131"/>
      <c r="D7" s="129"/>
      <c r="E7" s="129"/>
      <c r="F7" s="129"/>
      <c r="G7" s="129"/>
      <c r="K7" s="6"/>
    </row>
    <row r="8" spans="1:26" ht="14.4">
      <c r="K8" s="10"/>
      <c r="S8" s="143" t="s">
        <v>647</v>
      </c>
      <c r="T8" s="150"/>
      <c r="U8" s="222"/>
      <c r="V8"/>
      <c r="W8"/>
      <c r="X8" s="222"/>
      <c r="Y8"/>
      <c r="Z8"/>
    </row>
    <row r="9" spans="1:26">
      <c r="S9" s="143"/>
      <c r="T9" s="443"/>
      <c r="U9" s="440" t="s">
        <v>609</v>
      </c>
      <c r="V9" s="440" t="s">
        <v>610</v>
      </c>
      <c r="W9" s="443"/>
      <c r="X9" s="206"/>
      <c r="Y9" s="286"/>
      <c r="Z9" s="200"/>
    </row>
    <row r="10" spans="1:26" ht="16.8">
      <c r="S10" s="203"/>
      <c r="T10" s="474" t="s">
        <v>690</v>
      </c>
      <c r="U10" s="467">
        <v>15</v>
      </c>
      <c r="V10" s="488">
        <f>G5</f>
        <v>0</v>
      </c>
      <c r="W10" s="447" t="s">
        <v>691</v>
      </c>
      <c r="X10" s="210"/>
      <c r="Y10" s="287"/>
      <c r="Z10" s="210"/>
    </row>
    <row r="11" spans="1:26" ht="16.8">
      <c r="S11" s="203"/>
      <c r="T11" s="474" t="s">
        <v>774</v>
      </c>
      <c r="U11" s="467">
        <v>9</v>
      </c>
      <c r="V11" s="488">
        <f>I5</f>
        <v>0</v>
      </c>
      <c r="W11" s="447" t="s">
        <v>775</v>
      </c>
      <c r="X11" s="210"/>
      <c r="Y11" s="210"/>
      <c r="Z11" s="210"/>
    </row>
    <row r="12" spans="1:26" ht="16.8">
      <c r="S12" s="203"/>
      <c r="T12" s="474" t="s">
        <v>616</v>
      </c>
      <c r="U12" s="467">
        <v>365</v>
      </c>
      <c r="V12" s="488">
        <f>J5</f>
        <v>0</v>
      </c>
      <c r="W12" s="447" t="s">
        <v>617</v>
      </c>
      <c r="X12" s="210"/>
      <c r="Y12" s="210"/>
      <c r="Z12" s="210"/>
    </row>
    <row r="13" spans="1:26" ht="14.25" customHeight="1">
      <c r="S13" s="203"/>
      <c r="T13" s="474"/>
      <c r="U13" s="531"/>
      <c r="V13" s="531"/>
      <c r="W13" s="560"/>
      <c r="X13" s="210"/>
      <c r="Y13" s="210"/>
      <c r="Z13" s="210"/>
    </row>
    <row r="14" spans="1:26" ht="14.25" customHeight="1">
      <c r="S14" s="143" t="s">
        <v>618</v>
      </c>
      <c r="T14" s="150"/>
      <c r="U14" s="206"/>
      <c r="V14" s="206"/>
      <c r="W14" s="207"/>
      <c r="X14" s="208"/>
      <c r="Y14" s="209"/>
      <c r="Z14" s="208"/>
    </row>
    <row r="15" spans="1:26" ht="14.4">
      <c r="S15" s="214"/>
      <c r="T15" s="442"/>
      <c r="U15" s="440" t="s">
        <v>625</v>
      </c>
      <c r="V15" s="440" t="s">
        <v>626</v>
      </c>
      <c r="W15" s="442"/>
      <c r="X15" s="228"/>
      <c r="Y15" s="288"/>
      <c r="Z15" s="228"/>
    </row>
    <row r="16" spans="1:26">
      <c r="D16" s="11"/>
      <c r="E16" s="11"/>
      <c r="F16" s="11"/>
      <c r="G16" s="11"/>
      <c r="H16" s="11"/>
      <c r="S16" s="214"/>
      <c r="T16" s="511" t="s">
        <v>778</v>
      </c>
      <c r="U16" s="482">
        <f>30*V10</f>
        <v>0</v>
      </c>
      <c r="V16" s="482">
        <f>IF(H5="",IF(V10&lt;13,21.5*V10,IF(V10&lt;28,2*V10+254,3.8*V10+203.5)),H5)</f>
        <v>0</v>
      </c>
      <c r="W16" s="605" t="s">
        <v>842</v>
      </c>
      <c r="X16" s="228"/>
      <c r="Y16" s="288"/>
      <c r="Z16" s="228"/>
    </row>
    <row r="17" spans="4:26" ht="14.4">
      <c r="D17" s="11"/>
      <c r="E17" s="11"/>
      <c r="F17" s="11"/>
      <c r="G17" s="11"/>
      <c r="H17" s="11"/>
      <c r="S17" s="214"/>
      <c r="T17" s="548" t="s">
        <v>624</v>
      </c>
      <c r="U17" s="1006">
        <v>12</v>
      </c>
      <c r="V17" s="1028"/>
      <c r="W17" s="554" t="s">
        <v>701</v>
      </c>
      <c r="X17" s="228"/>
      <c r="Y17" s="228"/>
      <c r="Z17" s="228"/>
    </row>
    <row r="18" spans="4:26">
      <c r="D18" s="11"/>
      <c r="E18" s="11"/>
      <c r="F18" s="11"/>
      <c r="G18" s="11"/>
      <c r="H18" s="11"/>
      <c r="S18" s="143" t="s">
        <v>877</v>
      </c>
      <c r="T18" s="150"/>
      <c r="U18" s="213"/>
      <c r="V18" s="193"/>
      <c r="W18" s="150"/>
      <c r="X18" s="206"/>
      <c r="Y18" s="206"/>
      <c r="Z18" s="206"/>
    </row>
    <row r="19" spans="4:26">
      <c r="D19" s="11"/>
      <c r="E19" s="11"/>
      <c r="F19" s="11"/>
      <c r="G19" s="11"/>
      <c r="H19" s="11"/>
      <c r="S19" s="214"/>
      <c r="T19" s="517"/>
      <c r="U19" s="474" t="s">
        <v>625</v>
      </c>
      <c r="V19" s="474" t="s">
        <v>626</v>
      </c>
      <c r="W19" s="474" t="s">
        <v>2</v>
      </c>
      <c r="X19" s="459"/>
      <c r="Y19" s="149"/>
      <c r="Z19" s="149"/>
    </row>
    <row r="20" spans="4:26">
      <c r="S20" s="215"/>
      <c r="T20" s="511" t="s">
        <v>753</v>
      </c>
      <c r="U20" s="467">
        <f>U16*V11*V12/1000</f>
        <v>0</v>
      </c>
      <c r="V20" s="467">
        <f>V16*V11*V12/1000</f>
        <v>0</v>
      </c>
      <c r="W20" s="467">
        <f>IFERROR(F5*(U20-V20),0)</f>
        <v>0</v>
      </c>
      <c r="X20" s="459" t="s">
        <v>5</v>
      </c>
      <c r="Y20" s="149"/>
      <c r="Z20" s="149"/>
    </row>
    <row r="21" spans="4:26">
      <c r="S21" s="233"/>
      <c r="T21" s="234"/>
      <c r="U21" s="235"/>
      <c r="V21" s="235"/>
      <c r="W21" s="233"/>
      <c r="X21" s="233"/>
      <c r="Y21" s="233"/>
      <c r="Z21" s="233"/>
    </row>
    <row r="22" spans="4:26" ht="14.25" customHeight="1"/>
    <row r="29" spans="4:26" ht="14.25" customHeight="1"/>
    <row r="34" ht="14.25" customHeight="1"/>
    <row r="39" ht="15" customHeight="1"/>
  </sheetData>
  <sheetProtection algorithmName="SHA-512" hashValue="CA+LYFcM77MZSN99BGWykxJM2bF4Ujoqqas1zTEAzufV9XKIwyQLpX1Q8L1HJM/6EusGgFodTEgf911jPFRI+w==" saltValue="em7JhTFmN5a/NftufSYNfA==" spinCount="100000" sheet="1" objects="1" scenarios="1"/>
  <protectedRanges>
    <protectedRange sqref="D5:E5" name="Range1"/>
    <protectedRange sqref="F5:J5" name="Range1_1"/>
  </protectedRanges>
  <mergeCells count="6">
    <mergeCell ref="A2:A3"/>
    <mergeCell ref="B2:B3"/>
    <mergeCell ref="U17:V17"/>
    <mergeCell ref="C2:C3"/>
    <mergeCell ref="D2:J2"/>
    <mergeCell ref="L2:O2"/>
  </mergeCells>
  <dataValidations count="1">
    <dataValidation type="decimal" allowBlank="1" showInputMessage="1" showErrorMessage="1" sqref="D1:E1" xr:uid="{EADA1D62-3E9D-44EF-A686-CEF0A3CEFDE3}">
      <formula1>0</formula1>
      <formula2>999999999999999000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481E-4386-4F50-A8B4-9037E04158D4}">
  <sheetPr codeName="Sheet14">
    <tabColor theme="4" tint="0.39997558519241921"/>
  </sheetPr>
  <dimension ref="A1:AI55"/>
  <sheetViews>
    <sheetView showGridLines="0" topLeftCell="C1" zoomScaleNormal="100" workbookViewId="0">
      <selection activeCell="D1" sqref="D1"/>
    </sheetView>
  </sheetViews>
  <sheetFormatPr defaultColWidth="0" defaultRowHeight="13.8"/>
  <cols>
    <col min="1" max="1" width="7.5546875" style="6" hidden="1" customWidth="1"/>
    <col min="2" max="2" width="8" style="6" hidden="1" customWidth="1"/>
    <col min="3" max="3" width="5.88671875" style="6" customWidth="1"/>
    <col min="4" max="4" width="11.6640625" style="6" bestFit="1" customWidth="1"/>
    <col min="5" max="5" width="16.109375" style="6" customWidth="1"/>
    <col min="6" max="6" width="21" style="6" customWidth="1"/>
    <col min="7" max="7" width="24.5546875" style="6" bestFit="1" customWidth="1"/>
    <col min="8" max="8" width="8.5546875" style="6" customWidth="1"/>
    <col min="9" max="9" width="17.33203125" style="6" customWidth="1"/>
    <col min="10" max="11" width="12.6640625" style="6" customWidth="1"/>
    <col min="12" max="13" width="10.109375" style="6" customWidth="1"/>
    <col min="14" max="16" width="14.109375" style="6" customWidth="1"/>
    <col min="17" max="17" width="17.109375" style="6" customWidth="1"/>
    <col min="18" max="19" width="11.109375" style="6" customWidth="1"/>
    <col min="20" max="20" width="13.109375" style="6" customWidth="1"/>
    <col min="21" max="21" width="1.88671875" style="6" customWidth="1"/>
    <col min="22" max="22" width="13.109375" style="6" customWidth="1"/>
    <col min="23" max="24" width="10" style="6" customWidth="1"/>
    <col min="25" max="25" width="10.33203125" style="6" bestFit="1" customWidth="1"/>
    <col min="26" max="26" width="8.109375" style="6" customWidth="1"/>
    <col min="27" max="27" width="14.109375" style="6" hidden="1" customWidth="1"/>
    <col min="28" max="28" width="14.5546875" style="6" hidden="1" customWidth="1"/>
    <col min="29" max="29" width="12.6640625" style="6" hidden="1" customWidth="1"/>
    <col min="30" max="30" width="14.109375" style="6" hidden="1" customWidth="1"/>
    <col min="31" max="31" width="12.33203125" style="6" hidden="1" customWidth="1"/>
    <col min="32" max="32" width="10" style="6" hidden="1" customWidth="1"/>
    <col min="33" max="33" width="15.33203125" style="6" hidden="1" customWidth="1"/>
    <col min="34" max="16384" width="10" style="6" hidden="1"/>
  </cols>
  <sheetData>
    <row r="1" spans="1:35" s="7" customFormat="1" ht="25.2">
      <c r="C1" s="30" t="s">
        <v>878</v>
      </c>
      <c r="D1" s="9"/>
      <c r="E1" s="9"/>
      <c r="F1" s="9"/>
      <c r="G1" s="8"/>
      <c r="H1" s="8"/>
      <c r="I1" s="8"/>
      <c r="J1" s="8"/>
      <c r="K1" s="8"/>
      <c r="L1" s="8"/>
      <c r="M1" s="8"/>
      <c r="U1" s="6"/>
    </row>
    <row r="2" spans="1:35" s="10" customFormat="1" ht="15" customHeight="1">
      <c r="A2" s="926" t="s">
        <v>118</v>
      </c>
      <c r="B2" s="928" t="s">
        <v>255</v>
      </c>
      <c r="C2" s="866" t="s">
        <v>589</v>
      </c>
      <c r="D2" s="867" t="s">
        <v>590</v>
      </c>
      <c r="E2" s="868"/>
      <c r="F2" s="868"/>
      <c r="G2" s="868"/>
      <c r="H2" s="868"/>
      <c r="I2" s="868"/>
      <c r="J2" s="868"/>
      <c r="K2" s="868"/>
      <c r="L2" s="868"/>
      <c r="M2" s="868"/>
      <c r="N2" s="868"/>
      <c r="O2" s="868"/>
      <c r="P2" s="868"/>
      <c r="Q2" s="868"/>
      <c r="R2" s="868"/>
      <c r="S2" s="868"/>
      <c r="T2" s="868"/>
      <c r="U2" s="6"/>
      <c r="V2" s="868" t="s">
        <v>591</v>
      </c>
      <c r="W2" s="868"/>
      <c r="X2" s="868"/>
      <c r="Y2" s="868"/>
    </row>
    <row r="3" spans="1:35" s="127" customFormat="1" ht="45" customHeight="1">
      <c r="A3" s="927"/>
      <c r="B3" s="929"/>
      <c r="C3" s="866"/>
      <c r="D3" s="424" t="s">
        <v>592</v>
      </c>
      <c r="E3" s="424" t="s">
        <v>593</v>
      </c>
      <c r="F3" s="425" t="s">
        <v>99</v>
      </c>
      <c r="G3" s="425" t="s">
        <v>221</v>
      </c>
      <c r="H3" s="424" t="s">
        <v>594</v>
      </c>
      <c r="I3" s="424" t="s">
        <v>879</v>
      </c>
      <c r="J3" s="424" t="s">
        <v>880</v>
      </c>
      <c r="K3" s="424" t="s">
        <v>881</v>
      </c>
      <c r="L3" s="424" t="s">
        <v>882</v>
      </c>
      <c r="M3" s="424" t="s">
        <v>857</v>
      </c>
      <c r="N3" s="424" t="s">
        <v>883</v>
      </c>
      <c r="O3" s="424" t="s">
        <v>830</v>
      </c>
      <c r="P3" s="424" t="s">
        <v>858</v>
      </c>
      <c r="Q3" s="424" t="s">
        <v>859</v>
      </c>
      <c r="R3" s="424" t="s">
        <v>833</v>
      </c>
      <c r="S3" s="424" t="s">
        <v>834</v>
      </c>
      <c r="T3" s="424" t="s">
        <v>835</v>
      </c>
      <c r="U3" s="6"/>
      <c r="V3" s="423" t="s">
        <v>599</v>
      </c>
      <c r="W3" s="423" t="s">
        <v>600</v>
      </c>
      <c r="X3" s="423" t="s">
        <v>6</v>
      </c>
      <c r="Y3" s="423" t="s">
        <v>601</v>
      </c>
    </row>
    <row r="4" spans="1:35" s="127" customFormat="1">
      <c r="A4" s="307"/>
      <c r="B4" s="308"/>
      <c r="C4" s="427" t="s">
        <v>602</v>
      </c>
      <c r="D4" s="606"/>
      <c r="E4" s="606"/>
      <c r="F4" s="434" t="s">
        <v>362</v>
      </c>
      <c r="G4" s="428" t="s">
        <v>381</v>
      </c>
      <c r="H4" s="446">
        <v>1</v>
      </c>
      <c r="I4" s="607">
        <v>100</v>
      </c>
      <c r="J4" s="446">
        <v>3</v>
      </c>
      <c r="K4" s="608">
        <v>0.7</v>
      </c>
      <c r="L4" s="609">
        <v>1</v>
      </c>
      <c r="M4" s="609">
        <v>1</v>
      </c>
      <c r="N4" s="608">
        <v>0.4</v>
      </c>
      <c r="O4" s="607">
        <v>13.2</v>
      </c>
      <c r="P4" s="607">
        <v>1671.7</v>
      </c>
      <c r="Q4" s="607">
        <v>800</v>
      </c>
      <c r="R4" s="607">
        <v>9</v>
      </c>
      <c r="S4" s="607">
        <v>311</v>
      </c>
      <c r="T4" s="607">
        <v>100</v>
      </c>
      <c r="U4" s="6"/>
      <c r="V4" s="439">
        <v>0</v>
      </c>
      <c r="W4" s="439">
        <v>4741.387061789942</v>
      </c>
      <c r="X4" s="439">
        <v>0</v>
      </c>
      <c r="Y4" s="430">
        <v>1000</v>
      </c>
    </row>
    <row r="5" spans="1:35" s="10" customFormat="1">
      <c r="A5" s="431" t="str">
        <f>IF(Summary!$C$7="","",Summary!$C$7)</f>
        <v/>
      </c>
      <c r="B5" s="428">
        <f>IFERROR(IF(ISNUMBER(MATCH(Summary!$C$8,Lookups!$B$143:$B$196,0)),"Wilmington, DE",IF(ISNUMBER(MATCH(Summary!$C$8,Lookups!$C$143:$C$187,0)),"Dover, DE",0)),"")</f>
        <v>0</v>
      </c>
      <c r="C5" s="428">
        <v>1</v>
      </c>
      <c r="D5" s="433"/>
      <c r="E5" s="433"/>
      <c r="F5" s="434" t="s">
        <v>362</v>
      </c>
      <c r="G5" s="428" t="s">
        <v>381</v>
      </c>
      <c r="H5" s="435"/>
      <c r="I5" s="461"/>
      <c r="J5" s="435"/>
      <c r="K5" s="438"/>
      <c r="L5" s="597"/>
      <c r="M5" s="597"/>
      <c r="N5" s="438"/>
      <c r="O5" s="461"/>
      <c r="P5" s="461"/>
      <c r="Q5" s="461"/>
      <c r="R5" s="461"/>
      <c r="S5" s="461"/>
      <c r="T5" s="461"/>
      <c r="U5" s="6"/>
      <c r="V5" s="439">
        <v>0</v>
      </c>
      <c r="W5" s="439">
        <f>IFERROR(AE49,0)</f>
        <v>0</v>
      </c>
      <c r="X5" s="543" t="s">
        <v>332</v>
      </c>
      <c r="Y5" s="610" t="str">
        <f>AG49</f>
        <v/>
      </c>
    </row>
    <row r="6" spans="1:35" s="10" customFormat="1">
      <c r="A6" s="431" t="str">
        <f>IF(Summary!$C$7="","",Summary!$C$7)</f>
        <v/>
      </c>
      <c r="B6" s="428">
        <f>IFERROR(IF(ISNUMBER(MATCH(Summary!$C$8,Lookups!$B$143:$B$196,0)),"Wilmington, DE",IF(ISNUMBER(MATCH(Summary!$C$8,Lookups!$C$143:$C$187,0)),"Dover, DE",0)),"")</f>
        <v>0</v>
      </c>
      <c r="C6" s="428">
        <v>2</v>
      </c>
      <c r="D6" s="433"/>
      <c r="E6" s="433"/>
      <c r="F6" s="428" t="s">
        <v>364</v>
      </c>
      <c r="G6" s="428" t="s">
        <v>383</v>
      </c>
      <c r="H6" s="435"/>
      <c r="I6" s="461"/>
      <c r="J6" s="435"/>
      <c r="K6" s="438"/>
      <c r="L6" s="597"/>
      <c r="M6" s="597"/>
      <c r="N6" s="438"/>
      <c r="O6" s="461"/>
      <c r="P6" s="461"/>
      <c r="Q6" s="461"/>
      <c r="R6" s="461"/>
      <c r="S6" s="461"/>
      <c r="T6" s="461"/>
      <c r="U6" s="6"/>
      <c r="V6" s="439">
        <v>0</v>
      </c>
      <c r="W6" s="543" t="s">
        <v>332</v>
      </c>
      <c r="X6" s="439">
        <f>IFERROR(AE50,0)</f>
        <v>0</v>
      </c>
      <c r="Y6" s="430" t="str">
        <f>AG50</f>
        <v/>
      </c>
    </row>
    <row r="7" spans="1:35" s="10" customFormat="1">
      <c r="C7" s="124" t="s">
        <v>884</v>
      </c>
      <c r="D7" s="129"/>
      <c r="E7" s="129"/>
      <c r="F7" s="129"/>
      <c r="G7" s="129"/>
      <c r="L7" s="129"/>
      <c r="M7" s="129"/>
      <c r="N7" s="129"/>
      <c r="O7" s="129"/>
      <c r="P7" s="129"/>
      <c r="Q7" s="129"/>
      <c r="U7" s="6"/>
    </row>
    <row r="8" spans="1:35" s="10" customFormat="1" ht="13.2">
      <c r="C8" s="131"/>
      <c r="D8" s="129"/>
      <c r="E8" s="129"/>
      <c r="F8" s="129"/>
      <c r="G8" s="129"/>
      <c r="H8" s="129"/>
      <c r="I8" s="129"/>
      <c r="J8" s="129"/>
      <c r="K8" s="129"/>
      <c r="L8" s="129"/>
      <c r="M8" s="129"/>
    </row>
    <row r="14" spans="1:35" ht="14.25" customHeight="1"/>
    <row r="15" spans="1:35" ht="14.25" customHeight="1"/>
    <row r="16" spans="1:35" ht="14.4">
      <c r="AA16" s="143" t="s">
        <v>647</v>
      </c>
      <c r="AB16" s="150"/>
      <c r="AC16" s="206"/>
      <c r="AD16" s="206"/>
      <c r="AE16" s="271">
        <v>0</v>
      </c>
      <c r="AF16" s="271">
        <v>0</v>
      </c>
      <c r="AG16" s="208"/>
      <c r="AH16" s="206"/>
      <c r="AI16" s="206"/>
    </row>
    <row r="17" spans="4:35" ht="14.4">
      <c r="D17" s="11"/>
      <c r="E17" s="11"/>
      <c r="F17" s="11"/>
      <c r="G17" s="11"/>
      <c r="H17" s="11"/>
      <c r="I17" s="11"/>
      <c r="J17" s="11"/>
      <c r="K17" s="11"/>
      <c r="L17" s="11"/>
      <c r="M17" s="11"/>
      <c r="N17" s="11"/>
      <c r="O17" s="11"/>
      <c r="P17" s="11"/>
      <c r="Q17" s="11"/>
      <c r="AA17" s="143"/>
      <c r="AB17" s="914"/>
      <c r="AC17" s="440" t="s">
        <v>609</v>
      </c>
      <c r="AD17" s="442"/>
      <c r="AE17" s="440" t="s">
        <v>610</v>
      </c>
      <c r="AF17" s="442"/>
      <c r="AG17" s="443"/>
      <c r="AH17" s="206"/>
      <c r="AI17" s="206"/>
    </row>
    <row r="18" spans="4:35" ht="14.4">
      <c r="D18" s="11"/>
      <c r="E18" s="11"/>
      <c r="F18" s="11"/>
      <c r="G18" s="11"/>
      <c r="H18" s="11"/>
      <c r="I18" s="11"/>
      <c r="J18" s="11"/>
      <c r="K18" s="11"/>
      <c r="L18" s="11"/>
      <c r="M18" s="11"/>
      <c r="N18" s="11"/>
      <c r="O18" s="11"/>
      <c r="P18" s="11"/>
      <c r="Q18" s="11"/>
      <c r="AA18" s="202"/>
      <c r="AB18" s="1031"/>
      <c r="AC18" s="546" t="s">
        <v>362</v>
      </c>
      <c r="AD18" s="546" t="s">
        <v>653</v>
      </c>
      <c r="AE18" s="546" t="s">
        <v>362</v>
      </c>
      <c r="AF18" s="546" t="s">
        <v>653</v>
      </c>
      <c r="AG18" s="442"/>
      <c r="AH18" s="214"/>
      <c r="AI18" s="214"/>
    </row>
    <row r="19" spans="4:35" ht="14.25" customHeight="1">
      <c r="D19" s="11"/>
      <c r="E19" s="11"/>
      <c r="F19" s="11"/>
      <c r="G19" s="11"/>
      <c r="H19" s="11"/>
      <c r="I19" s="11"/>
      <c r="J19" s="11"/>
      <c r="K19" s="11"/>
      <c r="L19" s="11"/>
      <c r="M19" s="11"/>
      <c r="N19" s="11"/>
      <c r="O19" s="11"/>
      <c r="P19" s="11"/>
      <c r="Q19" s="11"/>
      <c r="AA19" s="202"/>
      <c r="AB19" s="474" t="s">
        <v>774</v>
      </c>
      <c r="AC19" s="467">
        <v>9.25</v>
      </c>
      <c r="AD19" s="467">
        <v>9.25</v>
      </c>
      <c r="AE19" s="467">
        <f>R5</f>
        <v>0</v>
      </c>
      <c r="AF19" s="488">
        <f>R6</f>
        <v>0</v>
      </c>
      <c r="AG19" s="447" t="s">
        <v>775</v>
      </c>
      <c r="AH19" s="297"/>
      <c r="AI19" s="300"/>
    </row>
    <row r="20" spans="4:35" ht="14.25" customHeight="1">
      <c r="D20" s="11"/>
      <c r="E20" s="11"/>
      <c r="F20" s="11"/>
      <c r="G20" s="11"/>
      <c r="H20" s="11"/>
      <c r="I20" s="11"/>
      <c r="J20" s="11"/>
      <c r="K20" s="11"/>
      <c r="L20" s="11"/>
      <c r="M20" s="11"/>
      <c r="N20" s="11"/>
      <c r="O20" s="11"/>
      <c r="P20" s="11"/>
      <c r="Q20" s="11"/>
      <c r="AA20" s="202"/>
      <c r="AB20" s="474" t="s">
        <v>616</v>
      </c>
      <c r="AC20" s="467">
        <v>310.58</v>
      </c>
      <c r="AD20" s="467">
        <v>310.58</v>
      </c>
      <c r="AE20" s="467">
        <f>S5</f>
        <v>0</v>
      </c>
      <c r="AF20" s="488">
        <f>S6</f>
        <v>0</v>
      </c>
      <c r="AG20" s="447" t="s">
        <v>617</v>
      </c>
      <c r="AH20" s="297"/>
      <c r="AI20" s="300"/>
    </row>
    <row r="21" spans="4:35" ht="14.25" customHeight="1">
      <c r="AA21" s="202"/>
      <c r="AB21" s="474" t="s">
        <v>780</v>
      </c>
      <c r="AC21" s="467">
        <v>100</v>
      </c>
      <c r="AD21" s="467">
        <v>100</v>
      </c>
      <c r="AE21" s="467">
        <f>I5</f>
        <v>0</v>
      </c>
      <c r="AF21" s="467">
        <f>I6</f>
        <v>0</v>
      </c>
      <c r="AG21" s="447" t="s">
        <v>781</v>
      </c>
      <c r="AH21" s="297"/>
      <c r="AI21" s="300"/>
    </row>
    <row r="22" spans="4:35" ht="14.25" customHeight="1">
      <c r="AA22" s="202"/>
      <c r="AB22" s="474" t="s">
        <v>880</v>
      </c>
      <c r="AC22" s="467">
        <v>3</v>
      </c>
      <c r="AD22" s="467">
        <v>6</v>
      </c>
      <c r="AE22" s="467">
        <f>J5</f>
        <v>0</v>
      </c>
      <c r="AF22" s="467">
        <f>J6</f>
        <v>0</v>
      </c>
      <c r="AG22" s="560"/>
      <c r="AH22" s="299"/>
      <c r="AI22" s="298"/>
    </row>
    <row r="23" spans="4:35" ht="14.25" customHeight="1"/>
    <row r="24" spans="4:35" ht="14.25" customHeight="1">
      <c r="AA24" s="143" t="s">
        <v>618</v>
      </c>
      <c r="AB24" s="150"/>
      <c r="AC24" s="206"/>
      <c r="AD24" s="206"/>
      <c r="AE24" s="207"/>
      <c r="AF24" s="208"/>
      <c r="AG24" s="209"/>
      <c r="AH24" s="208"/>
      <c r="AI24" s="199"/>
    </row>
    <row r="25" spans="4:35">
      <c r="AA25" s="143"/>
      <c r="AB25" s="914"/>
      <c r="AC25" s="453" t="s">
        <v>362</v>
      </c>
      <c r="AD25" s="545"/>
      <c r="AE25" s="443"/>
      <c r="AF25" s="453" t="s">
        <v>653</v>
      </c>
      <c r="AG25" s="545"/>
      <c r="AH25" s="443"/>
      <c r="AI25" s="199"/>
    </row>
    <row r="26" spans="4:35" ht="14.4">
      <c r="AA26" s="202"/>
      <c r="AB26" s="1031"/>
      <c r="AC26" s="451" t="s">
        <v>625</v>
      </c>
      <c r="AD26" s="451" t="s">
        <v>626</v>
      </c>
      <c r="AE26" s="442"/>
      <c r="AF26" s="451" t="s">
        <v>625</v>
      </c>
      <c r="AG26" s="451" t="s">
        <v>626</v>
      </c>
      <c r="AH26" s="442"/>
      <c r="AI26" s="255"/>
    </row>
    <row r="27" spans="4:35" ht="14.25" customHeight="1">
      <c r="AA27" s="202"/>
      <c r="AB27" s="548" t="s">
        <v>292</v>
      </c>
      <c r="AC27" s="611" t="s">
        <v>885</v>
      </c>
      <c r="AD27" s="611" t="str">
        <f>G5</f>
        <v>Steam Generator</v>
      </c>
      <c r="AE27" s="612"/>
      <c r="AF27" s="611" t="s">
        <v>885</v>
      </c>
      <c r="AG27" s="611" t="str">
        <f>G6</f>
        <v>Boiler Based</v>
      </c>
      <c r="AH27" s="442"/>
      <c r="AI27" s="255"/>
    </row>
    <row r="28" spans="4:35" ht="14.4">
      <c r="AA28" s="202"/>
      <c r="AB28" s="548" t="s">
        <v>886</v>
      </c>
      <c r="AC28" s="611">
        <v>40</v>
      </c>
      <c r="AD28" s="611">
        <f>IF(AD27="steam generator",15,IF(AD27="boiler based",10,3))</f>
        <v>15</v>
      </c>
      <c r="AE28" s="442" t="s">
        <v>887</v>
      </c>
      <c r="AF28" s="611">
        <v>40</v>
      </c>
      <c r="AG28" s="611">
        <f>IF(AG27="steam generator",15,IF(AG27="boiler based",10,3))</f>
        <v>10</v>
      </c>
      <c r="AH28" s="442" t="s">
        <v>887</v>
      </c>
      <c r="AI28" s="255"/>
    </row>
    <row r="29" spans="4:35" ht="14.4">
      <c r="AA29" s="202"/>
      <c r="AB29" s="548" t="s">
        <v>888</v>
      </c>
      <c r="AC29" s="613">
        <v>0.4</v>
      </c>
      <c r="AD29" s="613">
        <f>N5</f>
        <v>0</v>
      </c>
      <c r="AE29" s="442"/>
      <c r="AF29" s="613">
        <v>0.4</v>
      </c>
      <c r="AG29" s="613">
        <v>0.4</v>
      </c>
      <c r="AH29" s="442"/>
      <c r="AI29" s="255"/>
    </row>
    <row r="30" spans="4:35" ht="14.25" customHeight="1">
      <c r="AA30" s="214"/>
      <c r="AB30" s="548" t="s">
        <v>766</v>
      </c>
      <c r="AC30" s="613">
        <f>IF(AC27="steam generator",0.3,IF(AC27="boiler based",0.26,0))</f>
        <v>0.3</v>
      </c>
      <c r="AD30" s="613">
        <f>K5</f>
        <v>0</v>
      </c>
      <c r="AE30" s="614"/>
      <c r="AF30" s="613">
        <f>IF(AF27="steam generator",0.18,IF(AF27="boiler based",0.15,0))</f>
        <v>0.18</v>
      </c>
      <c r="AG30" s="613">
        <f>K6</f>
        <v>0</v>
      </c>
      <c r="AH30" s="551"/>
      <c r="AI30" s="256"/>
    </row>
    <row r="31" spans="4:35">
      <c r="AA31" s="214"/>
      <c r="AB31" s="548" t="s">
        <v>889</v>
      </c>
      <c r="AC31" s="593">
        <v>23.3</v>
      </c>
      <c r="AD31" s="593" t="e">
        <f>ROUND(AE21/AE22,1)</f>
        <v>#DIV/0!</v>
      </c>
      <c r="AE31" s="554" t="s">
        <v>768</v>
      </c>
      <c r="AF31" s="593">
        <v>23.3</v>
      </c>
      <c r="AG31" s="615" t="e">
        <f>ROUND(AF21/AF22,1)</f>
        <v>#DIV/0!</v>
      </c>
      <c r="AH31" s="554" t="s">
        <v>768</v>
      </c>
      <c r="AI31" s="256"/>
    </row>
    <row r="32" spans="4:35">
      <c r="AA32" s="214"/>
      <c r="AB32" s="548" t="s">
        <v>769</v>
      </c>
      <c r="AC32" s="593">
        <v>1</v>
      </c>
      <c r="AD32" s="602">
        <f>M5</f>
        <v>0</v>
      </c>
      <c r="AE32" s="554"/>
      <c r="AF32" s="593">
        <v>1</v>
      </c>
      <c r="AG32" s="602">
        <f>M6</f>
        <v>0</v>
      </c>
      <c r="AH32" s="554"/>
      <c r="AI32" s="256"/>
    </row>
    <row r="33" spans="27:35">
      <c r="AA33" s="214"/>
      <c r="AB33" s="548" t="s">
        <v>772</v>
      </c>
      <c r="AC33" s="615">
        <v>11.88</v>
      </c>
      <c r="AD33" s="615">
        <f>O5</f>
        <v>0</v>
      </c>
      <c r="AE33" s="554" t="s">
        <v>773</v>
      </c>
      <c r="AF33" s="589">
        <v>10.92</v>
      </c>
      <c r="AG33" s="589">
        <f>O6</f>
        <v>0</v>
      </c>
      <c r="AH33" s="554" t="s">
        <v>773</v>
      </c>
      <c r="AI33" s="256"/>
    </row>
    <row r="34" spans="27:35">
      <c r="AA34" s="214"/>
      <c r="AB34" s="548" t="s">
        <v>776</v>
      </c>
      <c r="AC34" s="615">
        <f>1.776*1000</f>
        <v>1776</v>
      </c>
      <c r="AD34" s="615">
        <f>P5</f>
        <v>0</v>
      </c>
      <c r="AE34" s="554" t="s">
        <v>849</v>
      </c>
      <c r="AF34" s="589">
        <v>18832.68</v>
      </c>
      <c r="AG34" s="589">
        <f>P6</f>
        <v>0</v>
      </c>
      <c r="AH34" s="554" t="s">
        <v>403</v>
      </c>
      <c r="AI34" s="256"/>
    </row>
    <row r="35" spans="27:35" ht="14.25" customHeight="1">
      <c r="AA35" s="214"/>
      <c r="AB35" s="548" t="s">
        <v>778</v>
      </c>
      <c r="AC35" s="616">
        <f>IF(AC27="steam generator",1200,1000)</f>
        <v>1200</v>
      </c>
      <c r="AD35" s="616">
        <f>Q5</f>
        <v>0</v>
      </c>
      <c r="AE35" s="554" t="s">
        <v>842</v>
      </c>
      <c r="AF35" s="616">
        <f>IF(AF27="steam generator",18000,IF(AF27="boiler based",15000,0))</f>
        <v>18000</v>
      </c>
      <c r="AG35" s="616">
        <f>Q6</f>
        <v>0</v>
      </c>
      <c r="AH35" s="558" t="s">
        <v>806</v>
      </c>
      <c r="AI35" s="256"/>
    </row>
    <row r="36" spans="27:35">
      <c r="AA36" s="214"/>
      <c r="AB36" s="548" t="s">
        <v>807</v>
      </c>
      <c r="AC36" s="487">
        <v>30.8</v>
      </c>
      <c r="AD36" s="487"/>
      <c r="AE36" s="573" t="s">
        <v>808</v>
      </c>
      <c r="AF36" s="487">
        <v>105</v>
      </c>
      <c r="AG36" s="487"/>
      <c r="AH36" s="554" t="s">
        <v>809</v>
      </c>
      <c r="AI36" s="257"/>
    </row>
    <row r="37" spans="27:35" ht="14.4">
      <c r="AA37" s="214"/>
      <c r="AB37" s="548" t="s">
        <v>624</v>
      </c>
      <c r="AC37" s="515">
        <v>12</v>
      </c>
      <c r="AD37" s="599"/>
      <c r="AE37" s="581" t="s">
        <v>701</v>
      </c>
      <c r="AF37" s="515">
        <v>12</v>
      </c>
      <c r="AG37" s="599"/>
      <c r="AH37" s="581" t="s">
        <v>701</v>
      </c>
      <c r="AI37" s="251"/>
    </row>
    <row r="38" spans="27:35">
      <c r="AA38" s="143" t="s">
        <v>666</v>
      </c>
      <c r="AB38" s="150"/>
      <c r="AC38" s="206"/>
      <c r="AD38" s="206"/>
      <c r="AE38" s="207"/>
      <c r="AF38" s="208"/>
      <c r="AG38" s="209"/>
      <c r="AH38" s="208"/>
      <c r="AI38" s="289"/>
    </row>
    <row r="39" spans="27:35">
      <c r="AA39" s="143"/>
      <c r="AB39" s="914"/>
      <c r="AC39" s="453" t="s">
        <v>362</v>
      </c>
      <c r="AD39" s="545"/>
      <c r="AE39" s="443"/>
      <c r="AF39" s="453" t="s">
        <v>653</v>
      </c>
      <c r="AG39" s="545"/>
      <c r="AH39" s="443"/>
      <c r="AI39" s="289"/>
    </row>
    <row r="40" spans="27:35" ht="15" customHeight="1">
      <c r="AA40" s="214"/>
      <c r="AB40" s="1031"/>
      <c r="AC40" s="451" t="s">
        <v>625</v>
      </c>
      <c r="AD40" s="451" t="s">
        <v>626</v>
      </c>
      <c r="AE40" s="442"/>
      <c r="AF40" s="451" t="s">
        <v>625</v>
      </c>
      <c r="AG40" s="451" t="s">
        <v>626</v>
      </c>
      <c r="AH40" s="442"/>
      <c r="AI40" s="289"/>
    </row>
    <row r="41" spans="27:35" ht="14.25" customHeight="1">
      <c r="AA41" s="214"/>
      <c r="AB41" s="474" t="s">
        <v>871</v>
      </c>
      <c r="AC41" s="467">
        <f>AE19*AE20</f>
        <v>0</v>
      </c>
      <c r="AD41" s="617"/>
      <c r="AE41" s="447" t="s">
        <v>775</v>
      </c>
      <c r="AF41" s="467">
        <f>AF19*AF20</f>
        <v>0</v>
      </c>
      <c r="AG41" s="617"/>
      <c r="AH41" s="447" t="s">
        <v>775</v>
      </c>
      <c r="AI41" s="284"/>
    </row>
    <row r="42" spans="27:35">
      <c r="AA42" s="214"/>
      <c r="AB42" s="548" t="s">
        <v>814</v>
      </c>
      <c r="AC42" s="578">
        <f>AE21*AC36/AC30</f>
        <v>0</v>
      </c>
      <c r="AD42" s="578" t="e">
        <f>AE21*AC36/AD30</f>
        <v>#DIV/0!</v>
      </c>
      <c r="AE42" s="554" t="s">
        <v>849</v>
      </c>
      <c r="AF42" s="578">
        <f>AF21*AF36/AF30</f>
        <v>0</v>
      </c>
      <c r="AG42" s="578" t="e">
        <f>AF21*AF36/AG30</f>
        <v>#DIV/0!</v>
      </c>
      <c r="AH42" s="558" t="s">
        <v>403</v>
      </c>
      <c r="AI42" s="284"/>
    </row>
    <row r="43" spans="27:35">
      <c r="AA43" s="214"/>
      <c r="AB43" s="548" t="s">
        <v>812</v>
      </c>
      <c r="AC43" s="578">
        <f>AC32*AC34</f>
        <v>1776</v>
      </c>
      <c r="AD43" s="578">
        <f>AD32*AD34</f>
        <v>0</v>
      </c>
      <c r="AE43" s="554" t="s">
        <v>849</v>
      </c>
      <c r="AF43" s="578">
        <f>AF32*AF34</f>
        <v>18832.68</v>
      </c>
      <c r="AG43" s="578">
        <f>AG32*AG34</f>
        <v>0</v>
      </c>
      <c r="AH43" s="558" t="s">
        <v>403</v>
      </c>
      <c r="AI43" s="285"/>
    </row>
    <row r="44" spans="27:35">
      <c r="AA44" s="214"/>
      <c r="AB44" s="548" t="s">
        <v>815</v>
      </c>
      <c r="AC44" s="579" t="e">
        <f>AE19-AE21/(AC31*AE22)</f>
        <v>#DIV/0!</v>
      </c>
      <c r="AD44" s="579" t="e">
        <f>AE19-AE21/(AD31*AE22)</f>
        <v>#DIV/0!</v>
      </c>
      <c r="AE44" s="573" t="s">
        <v>890</v>
      </c>
      <c r="AF44" s="579" t="e">
        <f>AF19-AF21/(AF31*AF22)</f>
        <v>#DIV/0!</v>
      </c>
      <c r="AG44" s="579" t="e">
        <f>AF19-AF21/(AG31*AF22)</f>
        <v>#DIV/0!</v>
      </c>
      <c r="AH44" s="558" t="s">
        <v>890</v>
      </c>
      <c r="AI44" s="285"/>
    </row>
    <row r="45" spans="27:35">
      <c r="AA45" s="214"/>
      <c r="AB45" s="548" t="s">
        <v>816</v>
      </c>
      <c r="AC45" s="578" t="e">
        <f>((1-AC29)*AC35+AC29*AC31*AE22*AC36/AC30)*AC44</f>
        <v>#DIV/0!</v>
      </c>
      <c r="AD45" s="578" t="e">
        <f>((1-AD29)*AD35+AD29*AD31*AE22*AC36/AD30)*AD44</f>
        <v>#DIV/0!</v>
      </c>
      <c r="AE45" s="554" t="s">
        <v>849</v>
      </c>
      <c r="AF45" s="578" t="e">
        <f>((1-AF29)*AF35+AF29*AF31*AF22*AF36/AF30)*AF44</f>
        <v>#DIV/0!</v>
      </c>
      <c r="AG45" s="578" t="e">
        <f>((1-AG29)*AG35+AG29*AG31*AF22*AF36/AG30)*AG44</f>
        <v>#DIV/0!</v>
      </c>
      <c r="AH45" s="558" t="s">
        <v>403</v>
      </c>
      <c r="AI45" s="285"/>
    </row>
    <row r="46" spans="27:35">
      <c r="AA46" s="214"/>
      <c r="AB46" s="548" t="s">
        <v>817</v>
      </c>
      <c r="AC46" s="578" t="e">
        <f>AC42+AC45+AC43</f>
        <v>#DIV/0!</v>
      </c>
      <c r="AD46" s="578" t="e">
        <f>AD42+AD45+AD43</f>
        <v>#DIV/0!</v>
      </c>
      <c r="AE46" s="573" t="s">
        <v>849</v>
      </c>
      <c r="AF46" s="578" t="e">
        <f>AF42+AF45+AF43</f>
        <v>#DIV/0!</v>
      </c>
      <c r="AG46" s="578" t="e">
        <f>AG42+AG45+AG43</f>
        <v>#DIV/0!</v>
      </c>
      <c r="AH46" s="558" t="s">
        <v>403</v>
      </c>
      <c r="AI46" s="199"/>
    </row>
    <row r="47" spans="27:35">
      <c r="AA47" s="143" t="s">
        <v>891</v>
      </c>
      <c r="AB47" s="150"/>
      <c r="AC47" s="206"/>
      <c r="AD47" s="206"/>
      <c r="AE47" s="207"/>
      <c r="AF47" s="208"/>
      <c r="AG47" s="290"/>
      <c r="AH47" s="208"/>
      <c r="AI47" s="214"/>
    </row>
    <row r="48" spans="27:35">
      <c r="AA48" s="214"/>
      <c r="AB48" s="517"/>
      <c r="AC48" s="451" t="s">
        <v>625</v>
      </c>
      <c r="AD48" s="451" t="s">
        <v>626</v>
      </c>
      <c r="AE48" s="451" t="s">
        <v>2</v>
      </c>
      <c r="AF48" s="459"/>
      <c r="AG48" s="519" t="s">
        <v>439</v>
      </c>
      <c r="AH48" s="149"/>
      <c r="AI48" s="214"/>
    </row>
    <row r="49" spans="27:35">
      <c r="AA49" s="215"/>
      <c r="AB49" s="518" t="s">
        <v>362</v>
      </c>
      <c r="AC49" s="467" t="e">
        <f>AC46*AE20/1000</f>
        <v>#DIV/0!</v>
      </c>
      <c r="AD49" s="467" t="e">
        <f>AD46*AE20/1000</f>
        <v>#DIV/0!</v>
      </c>
      <c r="AE49" s="467">
        <f>IFERROR(H5*(AC49-AD49),0)</f>
        <v>0</v>
      </c>
      <c r="AF49" s="459" t="s">
        <v>5</v>
      </c>
      <c r="AG49" s="494" t="str">
        <f>IF(H5="","",H5*'Incentive Levels'!$F$37)</f>
        <v/>
      </c>
      <c r="AH49" s="149"/>
      <c r="AI49" s="214"/>
    </row>
    <row r="50" spans="27:35">
      <c r="AA50" s="215"/>
      <c r="AB50" s="518" t="s">
        <v>653</v>
      </c>
      <c r="AC50" s="467" t="e">
        <f>AF46*AF20/100000</f>
        <v>#DIV/0!</v>
      </c>
      <c r="AD50" s="467" t="e">
        <f>AG46*AF20/100000</f>
        <v>#DIV/0!</v>
      </c>
      <c r="AE50" s="467">
        <f>IFERROR(H6*(AC50-AD50),0)</f>
        <v>0</v>
      </c>
      <c r="AF50" s="459" t="s">
        <v>6</v>
      </c>
      <c r="AG50" s="494" t="str">
        <f>IF(H6="","",H6*'Incentive Levels'!$F$37)</f>
        <v/>
      </c>
      <c r="AH50" s="149"/>
      <c r="AI50" s="199"/>
    </row>
    <row r="51" spans="27:35">
      <c r="AA51" s="143" t="s">
        <v>892</v>
      </c>
      <c r="AB51" s="150"/>
      <c r="AC51" s="206"/>
      <c r="AD51" s="206"/>
      <c r="AE51" s="207"/>
      <c r="AF51" s="208"/>
      <c r="AG51" s="149"/>
      <c r="AH51" s="208"/>
      <c r="AI51" s="214"/>
    </row>
    <row r="52" spans="27:35">
      <c r="AA52" s="214"/>
      <c r="AB52" s="517"/>
      <c r="AC52" s="451" t="s">
        <v>625</v>
      </c>
      <c r="AD52" s="451" t="s">
        <v>626</v>
      </c>
      <c r="AE52" s="451" t="s">
        <v>2</v>
      </c>
      <c r="AF52" s="459"/>
      <c r="AG52" s="214"/>
      <c r="AH52" s="149"/>
      <c r="AI52" s="214"/>
    </row>
    <row r="53" spans="27:35">
      <c r="AA53" s="215"/>
      <c r="AB53" s="518" t="s">
        <v>362</v>
      </c>
      <c r="AC53" s="467">
        <f>AC28*AC41</f>
        <v>0</v>
      </c>
      <c r="AD53" s="467">
        <f>AD28*AC41</f>
        <v>0</v>
      </c>
      <c r="AE53" s="467">
        <f>AC53-AD53</f>
        <v>0</v>
      </c>
      <c r="AF53" s="459" t="s">
        <v>630</v>
      </c>
      <c r="AG53" s="214"/>
      <c r="AH53" s="149"/>
      <c r="AI53" s="214"/>
    </row>
    <row r="54" spans="27:35">
      <c r="AA54" s="215"/>
      <c r="AB54" s="518" t="s">
        <v>653</v>
      </c>
      <c r="AC54" s="467">
        <f>AF28*AF41</f>
        <v>0</v>
      </c>
      <c r="AD54" s="467">
        <f>AG28*AF41</f>
        <v>0</v>
      </c>
      <c r="AE54" s="467">
        <f>AC54-AD54</f>
        <v>0</v>
      </c>
      <c r="AF54" s="459" t="s">
        <v>630</v>
      </c>
      <c r="AG54" s="214"/>
      <c r="AH54" s="149"/>
      <c r="AI54" s="233"/>
    </row>
    <row r="55" spans="27:35">
      <c r="AA55" s="233"/>
      <c r="AB55" s="234"/>
      <c r="AC55" s="235"/>
      <c r="AD55" s="235"/>
      <c r="AE55" s="233"/>
      <c r="AF55" s="233"/>
      <c r="AG55" s="233"/>
      <c r="AH55" s="233"/>
      <c r="AI55" s="206"/>
    </row>
  </sheetData>
  <sheetProtection algorithmName="SHA-512" hashValue="AHUx5x8MPnKjMCfxl9DJKQFWshwvDWD+fiH1gdWVfYpId5eD5CjbLG+w768pvNRiMmwcHPm65OuuUspIJwerbA==" saltValue="cEyO8oaEsUGzs4gOFqNP/Q==" spinCount="100000" sheet="1" objects="1" scenarios="1"/>
  <protectedRanges>
    <protectedRange sqref="D5:E6" name="Range1"/>
    <protectedRange sqref="H5:T6" name="Range1_1"/>
    <protectedRange sqref="F5:G6" name="Range1_2"/>
  </protectedRanges>
  <mergeCells count="8">
    <mergeCell ref="A2:A3"/>
    <mergeCell ref="B2:B3"/>
    <mergeCell ref="AB25:AB26"/>
    <mergeCell ref="AB39:AB40"/>
    <mergeCell ref="AB17:AB18"/>
    <mergeCell ref="C2:C3"/>
    <mergeCell ref="D2:T2"/>
    <mergeCell ref="V2:Y2"/>
  </mergeCells>
  <dataValidations count="2">
    <dataValidation type="decimal" allowBlank="1" showInputMessage="1" showErrorMessage="1" sqref="D1:F1" xr:uid="{A47F1F52-4819-4BDC-A167-9E8FD1317803}">
      <formula1>0</formula1>
      <formula2>999999999999999000</formula2>
    </dataValidation>
    <dataValidation allowBlank="1" showInputMessage="1" showErrorMessage="1" prompt="In continuous steam or constant operation mode, rather than timed cooking, the energy and water consumption are the same regardless of the amount of food cooked.  Most models let the user choose the operating mode." sqref="AB29:AD29 AF29:AG29" xr:uid="{81F3834D-FCCE-476A-B500-090E6FD3681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78087F7-DD3B-4C70-BA7B-00BAB54FC70F}">
          <x14:formula1>
            <xm:f>Lookups!$X$120:$X$122</xm:f>
          </x14:formula1>
          <xm:sqref>G5:G6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E87E-0058-4DFF-9A8C-15E09EEE4E04}">
  <sheetPr codeName="Sheet16">
    <tabColor theme="4" tint="0.39997558519241921"/>
  </sheetPr>
  <dimension ref="A1:N15"/>
  <sheetViews>
    <sheetView showGridLines="0" topLeftCell="C1" zoomScaleNormal="100" workbookViewId="0">
      <selection activeCell="C1" sqref="C1"/>
    </sheetView>
  </sheetViews>
  <sheetFormatPr defaultColWidth="0" defaultRowHeight="13.8"/>
  <cols>
    <col min="1" max="1" width="15" style="81" hidden="1" customWidth="1"/>
    <col min="2" max="2" width="13.44140625" style="81" hidden="1" customWidth="1"/>
    <col min="3" max="3" width="8" style="81" customWidth="1"/>
    <col min="4" max="4" width="11.6640625" style="81" bestFit="1" customWidth="1"/>
    <col min="5" max="5" width="13.109375" style="81" bestFit="1" customWidth="1"/>
    <col min="6" max="6" width="13.44140625" style="81" bestFit="1" customWidth="1"/>
    <col min="7" max="7" width="17.6640625" style="81" customWidth="1"/>
    <col min="8" max="9" width="11.44140625" style="81" bestFit="1" customWidth="1"/>
    <col min="10" max="10" width="1.88671875" style="6" customWidth="1"/>
    <col min="11" max="11" width="9.33203125" style="81" bestFit="1" customWidth="1"/>
    <col min="12" max="12" width="16" style="81" bestFit="1" customWidth="1"/>
    <col min="13" max="13" width="2.6640625" style="81" customWidth="1"/>
    <col min="14" max="14" width="8" style="81" customWidth="1"/>
    <col min="15" max="16384" width="8" style="81" hidden="1"/>
  </cols>
  <sheetData>
    <row r="1" spans="1:12" ht="29.25" customHeight="1">
      <c r="C1" s="95" t="s">
        <v>893</v>
      </c>
    </row>
    <row r="2" spans="1:12" s="123" customFormat="1" ht="26.25" customHeight="1">
      <c r="A2" s="866" t="s">
        <v>894</v>
      </c>
      <c r="B2" s="866" t="s">
        <v>895</v>
      </c>
      <c r="C2" s="866" t="s">
        <v>589</v>
      </c>
      <c r="D2" s="866" t="s">
        <v>592</v>
      </c>
      <c r="E2" s="866" t="s">
        <v>548</v>
      </c>
      <c r="F2" s="866" t="s">
        <v>896</v>
      </c>
      <c r="G2" s="866" t="s">
        <v>897</v>
      </c>
      <c r="H2" s="866" t="s">
        <v>898</v>
      </c>
      <c r="I2" s="866" t="s">
        <v>899</v>
      </c>
      <c r="J2" s="6"/>
      <c r="K2" s="866" t="s">
        <v>600</v>
      </c>
      <c r="L2" s="866" t="s">
        <v>601</v>
      </c>
    </row>
    <row r="3" spans="1:12" s="123" customFormat="1" ht="26.25" customHeight="1">
      <c r="A3" s="866"/>
      <c r="B3" s="866"/>
      <c r="C3" s="866"/>
      <c r="D3" s="866"/>
      <c r="E3" s="866"/>
      <c r="F3" s="866"/>
      <c r="G3" s="866"/>
      <c r="H3" s="866"/>
      <c r="I3" s="866"/>
      <c r="J3" s="6"/>
      <c r="K3" s="866"/>
      <c r="L3" s="866"/>
    </row>
    <row r="4" spans="1:12" s="123" customFormat="1">
      <c r="A4" s="618"/>
      <c r="B4" s="618"/>
      <c r="C4" s="427" t="s">
        <v>602</v>
      </c>
      <c r="D4" s="427" t="s">
        <v>592</v>
      </c>
      <c r="E4" s="427" t="s">
        <v>548</v>
      </c>
      <c r="F4" s="619">
        <v>10</v>
      </c>
      <c r="G4" s="620">
        <v>3</v>
      </c>
      <c r="H4" s="427">
        <v>6</v>
      </c>
      <c r="I4" s="427">
        <v>18</v>
      </c>
      <c r="J4" s="6"/>
      <c r="K4" s="621">
        <v>1155</v>
      </c>
      <c r="L4" s="430">
        <v>200</v>
      </c>
    </row>
    <row r="5" spans="1:12" s="123" customFormat="1">
      <c r="A5" s="431" t="str">
        <f>IF(Summary!$C$7="","",Summary!$C$7)</f>
        <v/>
      </c>
      <c r="B5" s="431">
        <f>IFERROR(IF(ISNUMBER(MATCH(Summary!$C$8,Lookups!$B$143:$B$196,0)),"Wilmington, DE",IF(ISNUMBER(MATCH(Summary!$C$8,Lookups!$C$143:$C$187,0)),"Dover, DE",0)),"")</f>
        <v>0</v>
      </c>
      <c r="C5" s="427">
        <v>1</v>
      </c>
      <c r="D5" s="622"/>
      <c r="E5" s="622"/>
      <c r="F5" s="623"/>
      <c r="G5" s="623"/>
      <c r="H5" s="623"/>
      <c r="I5" s="623"/>
      <c r="J5" s="6"/>
      <c r="K5" s="439" t="str">
        <f>IF(A5="","",IFERROR((346.5*F5/G5),0))</f>
        <v/>
      </c>
      <c r="L5" s="596">
        <f>IF(K5=0,0,'Incentive Levels'!F38*F5)</f>
        <v>0</v>
      </c>
    </row>
    <row r="6" spans="1:12" s="123" customFormat="1">
      <c r="A6" s="431" t="str">
        <f>IF(Summary!$C$7="","",Summary!$C$7)</f>
        <v/>
      </c>
      <c r="B6" s="431">
        <f>IFERROR(IF(ISNUMBER(MATCH(Summary!$C$8,Lookups!$B$143:$B$196,0)),"Wilmington, DE",IF(ISNUMBER(MATCH(Summary!$C$8,Lookups!$C$143:$C$187,0)),"Dover, DE",0)),"")</f>
        <v>0</v>
      </c>
      <c r="C6" s="427">
        <v>2</v>
      </c>
      <c r="D6" s="622"/>
      <c r="E6" s="622"/>
      <c r="F6" s="623"/>
      <c r="G6" s="623"/>
      <c r="H6" s="623"/>
      <c r="I6" s="623"/>
      <c r="J6" s="6"/>
      <c r="K6" s="439" t="str">
        <f t="shared" ref="K6:K12" si="0">IF(A6="","",IFERROR((346.5*F6/G6),0))</f>
        <v/>
      </c>
      <c r="L6" s="596">
        <f>IF(K6=0,0,'Incentive Levels'!F39*F6)</f>
        <v>0</v>
      </c>
    </row>
    <row r="7" spans="1:12" s="123" customFormat="1">
      <c r="A7" s="431" t="str">
        <f>IF(Summary!$C$7="","",Summary!$C$7)</f>
        <v/>
      </c>
      <c r="B7" s="431">
        <f>IFERROR(IF(ISNUMBER(MATCH(Summary!$C$8,Lookups!$B$143:$B$196,0)),"Wilmington, DE",IF(ISNUMBER(MATCH(Summary!$C$8,Lookups!$C$143:$C$187,0)),"Dover, DE",0)),"")</f>
        <v>0</v>
      </c>
      <c r="C7" s="427">
        <v>3</v>
      </c>
      <c r="D7" s="622"/>
      <c r="E7" s="622"/>
      <c r="F7" s="623"/>
      <c r="G7" s="623"/>
      <c r="H7" s="623"/>
      <c r="I7" s="623"/>
      <c r="J7" s="6"/>
      <c r="K7" s="439" t="str">
        <f t="shared" si="0"/>
        <v/>
      </c>
      <c r="L7" s="596">
        <f>IF(K7=0,0,'Incentive Levels'!F40*F7)</f>
        <v>0</v>
      </c>
    </row>
    <row r="8" spans="1:12" s="123" customFormat="1" ht="13.2">
      <c r="A8" s="431" t="str">
        <f>IF(Summary!$C$7="","",Summary!$C$7)</f>
        <v/>
      </c>
      <c r="B8" s="431">
        <f>IFERROR(IF(ISNUMBER(MATCH(Summary!$C$8,Lookups!$B$143:$B$196,0)),"Wilmington, DE",IF(ISNUMBER(MATCH(Summary!$C$8,Lookups!$C$143:$C$187,0)),"Dover, DE",0)),"")</f>
        <v>0</v>
      </c>
      <c r="C8" s="427">
        <v>4</v>
      </c>
      <c r="D8" s="622"/>
      <c r="E8" s="622"/>
      <c r="F8" s="623"/>
      <c r="G8" s="623"/>
      <c r="H8" s="623"/>
      <c r="I8" s="623"/>
      <c r="J8" s="10"/>
      <c r="K8" s="439" t="str">
        <f t="shared" si="0"/>
        <v/>
      </c>
      <c r="L8" s="596">
        <f>IF(K8=0,0,'Incentive Levels'!F41*F8)</f>
        <v>0</v>
      </c>
    </row>
    <row r="9" spans="1:12" s="123" customFormat="1">
      <c r="A9" s="431" t="str">
        <f>IF(Summary!$C$7="","",Summary!$C$7)</f>
        <v/>
      </c>
      <c r="B9" s="431">
        <f>IFERROR(IF(ISNUMBER(MATCH(Summary!$C$8,Lookups!$B$143:$B$196,0)),"Wilmington, DE",IF(ISNUMBER(MATCH(Summary!$C$8,Lookups!$C$143:$C$187,0)),"Dover, DE",0)),"")</f>
        <v>0</v>
      </c>
      <c r="C9" s="427">
        <v>5</v>
      </c>
      <c r="D9" s="622"/>
      <c r="E9" s="622"/>
      <c r="F9" s="623"/>
      <c r="G9" s="623"/>
      <c r="H9" s="623"/>
      <c r="I9" s="623"/>
      <c r="J9" s="6"/>
      <c r="K9" s="439" t="str">
        <f t="shared" si="0"/>
        <v/>
      </c>
      <c r="L9" s="596">
        <f>IF(K9=0,0,'Incentive Levels'!F42*F9)</f>
        <v>0</v>
      </c>
    </row>
    <row r="10" spans="1:12" s="123" customFormat="1">
      <c r="A10" s="431" t="str">
        <f>IF(Summary!$C$7="","",Summary!$C$7)</f>
        <v/>
      </c>
      <c r="B10" s="431">
        <f>IFERROR(IF(ISNUMBER(MATCH(Summary!$C$8,Lookups!$B$143:$B$196,0)),"Wilmington, DE",IF(ISNUMBER(MATCH(Summary!$C$8,Lookups!$C$143:$C$187,0)),"Dover, DE",0)),"")</f>
        <v>0</v>
      </c>
      <c r="C10" s="427">
        <v>6</v>
      </c>
      <c r="D10" s="622"/>
      <c r="E10" s="622"/>
      <c r="F10" s="623"/>
      <c r="G10" s="623"/>
      <c r="H10" s="623"/>
      <c r="I10" s="623"/>
      <c r="J10" s="6"/>
      <c r="K10" s="439" t="str">
        <f t="shared" si="0"/>
        <v/>
      </c>
      <c r="L10" s="596">
        <f>IF(K10=0,0,'Incentive Levels'!F43*F10)</f>
        <v>0</v>
      </c>
    </row>
    <row r="11" spans="1:12" s="123" customFormat="1">
      <c r="A11" s="431" t="str">
        <f>IF(Summary!$C$7="","",Summary!$C$7)</f>
        <v/>
      </c>
      <c r="B11" s="431">
        <f>IFERROR(IF(ISNUMBER(MATCH(Summary!$C$8,Lookups!$B$143:$B$196,0)),"Wilmington, DE",IF(ISNUMBER(MATCH(Summary!$C$8,Lookups!$C$143:$C$187,0)),"Dover, DE",0)),"")</f>
        <v>0</v>
      </c>
      <c r="C11" s="427">
        <v>7</v>
      </c>
      <c r="D11" s="622"/>
      <c r="E11" s="622"/>
      <c r="F11" s="623"/>
      <c r="G11" s="623"/>
      <c r="H11" s="623"/>
      <c r="I11" s="623"/>
      <c r="J11" s="6"/>
      <c r="K11" s="439" t="str">
        <f t="shared" si="0"/>
        <v/>
      </c>
      <c r="L11" s="596">
        <f>IF(K11=0,0,'Incentive Levels'!F44*F11)</f>
        <v>0</v>
      </c>
    </row>
    <row r="12" spans="1:12" s="123" customFormat="1">
      <c r="A12" s="431" t="str">
        <f>IF(Summary!$C$7="","",Summary!$C$7)</f>
        <v/>
      </c>
      <c r="B12" s="431">
        <f>IFERROR(IF(ISNUMBER(MATCH(Summary!$C$8,Lookups!$B$143:$B$196,0)),"Wilmington, DE",IF(ISNUMBER(MATCH(Summary!$C$8,Lookups!$C$143:$C$187,0)),"Dover, DE",0)),"")</f>
        <v>0</v>
      </c>
      <c r="C12" s="427">
        <v>8</v>
      </c>
      <c r="D12" s="622"/>
      <c r="E12" s="622"/>
      <c r="F12" s="623"/>
      <c r="G12" s="623"/>
      <c r="H12" s="623"/>
      <c r="I12" s="623"/>
      <c r="J12" s="6"/>
      <c r="K12" s="439" t="str">
        <f t="shared" si="0"/>
        <v/>
      </c>
      <c r="L12" s="596">
        <f>IF(K12=0,0,'Incentive Levels'!F45*F12)</f>
        <v>0</v>
      </c>
    </row>
    <row r="13" spans="1:12" s="123" customFormat="1">
      <c r="C13" s="124" t="s">
        <v>900</v>
      </c>
      <c r="J13" s="6"/>
    </row>
    <row r="14" spans="1:12" s="123" customFormat="1">
      <c r="C14" s="125"/>
      <c r="J14" s="6"/>
    </row>
    <row r="15" spans="1:12">
      <c r="C15" s="124"/>
    </row>
  </sheetData>
  <sheetProtection algorithmName="SHA-512" hashValue="WPJaIYIlsWVB4g7rfkioVco+suWEV2T1BnflX4jmsamLstrdmXUjyWlv6xOHIItUP3ymsQH6SBbSrFDPf/TKag==" saltValue="nRUeoz2noKbylD0sJeqU9A==" spinCount="100000" sheet="1" objects="1" scenarios="1"/>
  <protectedRanges>
    <protectedRange sqref="F5:I12" name="Range1"/>
    <protectedRange sqref="D5:E12" name="Range1_1"/>
  </protectedRanges>
  <mergeCells count="11">
    <mergeCell ref="K2:K3"/>
    <mergeCell ref="L2:L3"/>
    <mergeCell ref="C2:C3"/>
    <mergeCell ref="A2:A3"/>
    <mergeCell ref="B2:B3"/>
    <mergeCell ref="D2:D3"/>
    <mergeCell ref="E2:E3"/>
    <mergeCell ref="F2:F3"/>
    <mergeCell ref="G2:G3"/>
    <mergeCell ref="H2:H3"/>
    <mergeCell ref="I2:I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5804-C32F-466C-9F64-2231776D2EC6}">
  <sheetPr codeName="Sheet17">
    <tabColor theme="4" tint="0.39997558519241921"/>
  </sheetPr>
  <dimension ref="A1:AK20"/>
  <sheetViews>
    <sheetView showGridLines="0" topLeftCell="C1" zoomScaleNormal="100" workbookViewId="0">
      <selection activeCell="C1" sqref="C1"/>
    </sheetView>
  </sheetViews>
  <sheetFormatPr defaultColWidth="0" defaultRowHeight="13.8"/>
  <cols>
    <col min="1" max="1" width="19" style="81" hidden="1" customWidth="1"/>
    <col min="2" max="2" width="13.44140625" style="81" hidden="1" customWidth="1"/>
    <col min="3" max="3" width="6.5546875" style="81" customWidth="1"/>
    <col min="4" max="4" width="11.6640625" style="81" bestFit="1" customWidth="1"/>
    <col min="5" max="5" width="13.109375" style="81" bestFit="1" customWidth="1"/>
    <col min="6" max="6" width="33.33203125" style="81" bestFit="1" customWidth="1"/>
    <col min="7" max="7" width="12" style="81" bestFit="1" customWidth="1"/>
    <col min="8" max="8" width="18" style="81" bestFit="1" customWidth="1"/>
    <col min="9" max="9" width="10.44140625" style="81" bestFit="1" customWidth="1"/>
    <col min="10" max="10" width="5.88671875" style="81" bestFit="1" customWidth="1"/>
    <col min="11" max="11" width="1.88671875" style="6" customWidth="1"/>
    <col min="12" max="12" width="12" style="301" hidden="1" customWidth="1"/>
    <col min="13" max="15" width="12" style="303" hidden="1" customWidth="1"/>
    <col min="16" max="16" width="2.109375" style="303" customWidth="1"/>
    <col min="17" max="17" width="7.6640625" style="81" bestFit="1" customWidth="1"/>
    <col min="18" max="18" width="8.33203125" style="81" bestFit="1" customWidth="1"/>
    <col min="19" max="19" width="16" style="81" bestFit="1" customWidth="1"/>
    <col min="20" max="20" width="4.109375" style="81" customWidth="1"/>
    <col min="21" max="21" width="10.88671875" style="81" hidden="1" customWidth="1"/>
    <col min="22" max="22" width="10.109375" style="81" hidden="1" customWidth="1"/>
    <col min="23" max="23" width="9.6640625" style="81" hidden="1" customWidth="1"/>
    <col min="24" max="24" width="9" style="81" hidden="1" customWidth="1"/>
    <col min="25" max="37" width="2.6640625" style="81" hidden="1" customWidth="1"/>
    <col min="38" max="16384" width="8" style="81" hidden="1"/>
  </cols>
  <sheetData>
    <row r="1" spans="1:19" ht="29.25" customHeight="1">
      <c r="C1" s="95" t="s">
        <v>901</v>
      </c>
    </row>
    <row r="2" spans="1:19" s="123" customFormat="1" ht="26.25" customHeight="1">
      <c r="A2" s="866" t="s">
        <v>894</v>
      </c>
      <c r="B2" s="866" t="s">
        <v>895</v>
      </c>
      <c r="C2" s="866" t="s">
        <v>589</v>
      </c>
      <c r="D2" s="866" t="s">
        <v>592</v>
      </c>
      <c r="E2" s="866" t="s">
        <v>548</v>
      </c>
      <c r="F2" s="866" t="s">
        <v>414</v>
      </c>
      <c r="G2" s="866" t="s">
        <v>282</v>
      </c>
      <c r="H2" s="866" t="s">
        <v>902</v>
      </c>
      <c r="I2" s="866" t="s">
        <v>903</v>
      </c>
      <c r="J2" s="866" t="s">
        <v>904</v>
      </c>
      <c r="K2" s="6"/>
      <c r="L2" s="1032" t="s">
        <v>905</v>
      </c>
      <c r="M2" s="1033" t="s">
        <v>415</v>
      </c>
      <c r="N2" s="1033" t="s">
        <v>906</v>
      </c>
      <c r="O2" s="1033" t="s">
        <v>409</v>
      </c>
      <c r="P2" s="303"/>
      <c r="Q2" s="866" t="s">
        <v>599</v>
      </c>
      <c r="R2" s="866" t="s">
        <v>600</v>
      </c>
      <c r="S2" s="866" t="s">
        <v>601</v>
      </c>
    </row>
    <row r="3" spans="1:19" s="123" customFormat="1" ht="26.25" customHeight="1">
      <c r="A3" s="866"/>
      <c r="B3" s="866"/>
      <c r="C3" s="866"/>
      <c r="D3" s="866"/>
      <c r="E3" s="866"/>
      <c r="F3" s="866"/>
      <c r="G3" s="866"/>
      <c r="H3" s="866"/>
      <c r="I3" s="866"/>
      <c r="J3" s="866"/>
      <c r="K3" s="6"/>
      <c r="L3" s="1032"/>
      <c r="M3" s="1033"/>
      <c r="N3" s="1033"/>
      <c r="O3" s="1033"/>
      <c r="P3" s="303"/>
      <c r="Q3" s="866"/>
      <c r="R3" s="866"/>
      <c r="S3" s="866"/>
    </row>
    <row r="4" spans="1:19" s="123" customFormat="1">
      <c r="A4" s="618"/>
      <c r="B4" s="618"/>
      <c r="C4" s="427" t="s">
        <v>602</v>
      </c>
      <c r="D4" s="624" t="s">
        <v>592</v>
      </c>
      <c r="E4" s="624" t="s">
        <v>548</v>
      </c>
      <c r="F4" s="624" t="s">
        <v>410</v>
      </c>
      <c r="G4" s="624" t="s">
        <v>413</v>
      </c>
      <c r="H4" s="625">
        <v>0.13</v>
      </c>
      <c r="I4" s="626">
        <v>1</v>
      </c>
      <c r="J4" s="627">
        <v>8760</v>
      </c>
      <c r="K4" s="6"/>
      <c r="L4" s="628">
        <v>0.90700000000000003</v>
      </c>
      <c r="M4" s="629">
        <v>1.5</v>
      </c>
      <c r="N4" s="629">
        <v>1.5</v>
      </c>
      <c r="O4" s="629">
        <v>0.3</v>
      </c>
      <c r="P4" s="303"/>
      <c r="Q4" s="621">
        <v>0.06</v>
      </c>
      <c r="R4" s="621">
        <v>818.23</v>
      </c>
      <c r="S4" s="430">
        <v>50</v>
      </c>
    </row>
    <row r="5" spans="1:19" s="123" customFormat="1">
      <c r="A5" s="431" t="str">
        <f>IF(Summary!$C$7="","",Summary!$C$7)</f>
        <v/>
      </c>
      <c r="B5" s="431">
        <f>IFERROR(IF(ISNUMBER(MATCH(Summary!$C$8,Lookups!$B$143:$B$196,0)),"Wilmington, DE",IF(ISNUMBER(MATCH(Summary!$C$8,Lookups!$C$143:$C$187,0)),"Dover, DE",0)),"")</f>
        <v>0</v>
      </c>
      <c r="C5" s="427">
        <v>1</v>
      </c>
      <c r="D5" s="622"/>
      <c r="E5" s="622"/>
      <c r="F5" s="622"/>
      <c r="G5" s="622"/>
      <c r="H5" s="622"/>
      <c r="I5" s="622"/>
      <c r="J5" s="622"/>
      <c r="K5" s="6"/>
      <c r="L5" s="628">
        <f>IFERROR(IF(A5=0,0,IF(G5="On/Off",Lookups!$W$147,IF(G5="Micropulse",Lookups!$W$148,0))),0)</f>
        <v>0</v>
      </c>
      <c r="M5" s="629">
        <f>IFERROR(IF(A5=0,0,IF(F5="Cooler",Lookups!$W$151,IF(F5="Freezer",Lookups!$W$152,0))),0)</f>
        <v>0</v>
      </c>
      <c r="N5" s="629">
        <f>IFERROR(IF(B5=0,0,IF(G5="Cooler",Lookups!$W$151,IF(G5="Freezer",Lookups!$W$152,0))),0)</f>
        <v>0</v>
      </c>
      <c r="O5" s="629">
        <f>IFERROR(IF(A5=0,0,INDEX(Lookups!$Y$147:$Z$148,MATCH(G5,Lookups!$X$147:$X$148,0),MATCH('Anti-Sweat Heater Controls'!F5,Lookups!$Y$146:$Z$146,0))),0)</f>
        <v>0</v>
      </c>
      <c r="P5" s="303"/>
      <c r="Q5" s="439" t="str">
        <f t="shared" ref="Q5:Q12" si="0">IFERROR(IF(A5="","",H5*M5*O5),0)</f>
        <v/>
      </c>
      <c r="R5" s="439" t="str">
        <f>IFERROR(IF(A5="","",(H5*(Lookups!$W$146-L5)*I5*J5*M5)),0)</f>
        <v/>
      </c>
      <c r="S5" s="596">
        <f>IF(R5=0,0,I5*'Incentive Levels'!$F$39)</f>
        <v>0</v>
      </c>
    </row>
    <row r="6" spans="1:19" s="123" customFormat="1">
      <c r="A6" s="431" t="str">
        <f>IF(Summary!$C$7="","",Summary!$C$7)</f>
        <v/>
      </c>
      <c r="B6" s="431">
        <f>IFERROR(IF(ISNUMBER(MATCH(Summary!$C$8,Lookups!$B$143:$B$196,0)),"Wilmington, DE",IF(ISNUMBER(MATCH(Summary!$C$8,Lookups!$C$143:$C$187,0)),"Dover, DE",0)),"")</f>
        <v>0</v>
      </c>
      <c r="C6" s="427">
        <v>2</v>
      </c>
      <c r="D6" s="622"/>
      <c r="E6" s="622"/>
      <c r="F6" s="622"/>
      <c r="G6" s="622"/>
      <c r="H6" s="622"/>
      <c r="I6" s="622"/>
      <c r="J6" s="622"/>
      <c r="K6" s="6"/>
      <c r="L6" s="628">
        <f>IFERROR(IF(A6=0,0,IF(G6="On/Off",Lookups!$W$147,IF(G6="Micropulse",Lookups!$W$148,0))),0)</f>
        <v>0</v>
      </c>
      <c r="M6" s="629">
        <f>IFERROR(IF(A6=0,0,IF(F6="Cooler",Lookups!$W$151,IF(F6="Freezer",Lookups!$W$152,0))),0)</f>
        <v>0</v>
      </c>
      <c r="N6" s="629">
        <f>IFERROR(IF(B6=0,0,IF(G6="Cooler",Lookups!$W$151,IF(G6="Freezer",Lookups!$W$152,0))),0)</f>
        <v>0</v>
      </c>
      <c r="O6" s="629">
        <f>IFERROR(IF(A6=0,0,INDEX(Lookups!$Y$147:$Z$148,MATCH(G6,Lookups!$X$147:$X$148,0),MATCH('Anti-Sweat Heater Controls'!F6,Lookups!$Y$146:$Z$146,0))),0)</f>
        <v>0</v>
      </c>
      <c r="P6" s="303"/>
      <c r="Q6" s="439" t="str">
        <f t="shared" si="0"/>
        <v/>
      </c>
      <c r="R6" s="439" t="str">
        <f>IFERROR(IF(A6="","",(H6*(Lookups!$W$146-L6)*I6*J6*M6)),0)</f>
        <v/>
      </c>
      <c r="S6" s="596">
        <f>IF(R6=0,0,I6*'Incentive Levels'!$F$39)</f>
        <v>0</v>
      </c>
    </row>
    <row r="7" spans="1:19" s="123" customFormat="1">
      <c r="A7" s="431" t="str">
        <f>IF(Summary!$C$7="","",Summary!$C$7)</f>
        <v/>
      </c>
      <c r="B7" s="431">
        <f>IFERROR(IF(ISNUMBER(MATCH(Summary!$C$8,Lookups!$B$143:$B$196,0)),"Wilmington, DE",IF(ISNUMBER(MATCH(Summary!$C$8,Lookups!$C$143:$C$187,0)),"Dover, DE",0)),"")</f>
        <v>0</v>
      </c>
      <c r="C7" s="427">
        <v>3</v>
      </c>
      <c r="D7" s="622"/>
      <c r="E7" s="622"/>
      <c r="F7" s="622"/>
      <c r="G7" s="622"/>
      <c r="H7" s="622"/>
      <c r="I7" s="622"/>
      <c r="J7" s="622"/>
      <c r="K7" s="6"/>
      <c r="L7" s="628">
        <f>IFERROR(IF(A7=0,0,IF(G7="On/Off",Lookups!$W$147,IF(G7="Micropulse",Lookups!$W$148,0))),0)</f>
        <v>0</v>
      </c>
      <c r="M7" s="629">
        <f>IFERROR(IF(A7=0,0,IF(F7="Cooler",Lookups!$W$151,IF(F7="Freezer",Lookups!$W$152,0))),0)</f>
        <v>0</v>
      </c>
      <c r="N7" s="629">
        <f>IFERROR(IF(B7=0,0,IF(G7="Cooler",Lookups!$W$151,IF(G7="Freezer",Lookups!$W$152,0))),0)</f>
        <v>0</v>
      </c>
      <c r="O7" s="629">
        <f>IFERROR(IF(A7=0,0,INDEX(Lookups!$Y$147:$Z$148,MATCH(G7,Lookups!$X$147:$X$148,0),MATCH('Anti-Sweat Heater Controls'!F7,Lookups!$Y$146:$Z$146,0))),0)</f>
        <v>0</v>
      </c>
      <c r="P7" s="303"/>
      <c r="Q7" s="439" t="str">
        <f t="shared" si="0"/>
        <v/>
      </c>
      <c r="R7" s="439" t="str">
        <f>IFERROR(IF(A7="","",(H7*(Lookups!$W$146-L7)*I7*J7*M7)),0)</f>
        <v/>
      </c>
      <c r="S7" s="596">
        <f>IF(R7=0,0,I7*'Incentive Levels'!$F$39)</f>
        <v>0</v>
      </c>
    </row>
    <row r="8" spans="1:19" s="123" customFormat="1" ht="13.2">
      <c r="A8" s="431" t="str">
        <f>IF(Summary!$C$7="","",Summary!$C$7)</f>
        <v/>
      </c>
      <c r="B8" s="431">
        <f>IFERROR(IF(ISNUMBER(MATCH(Summary!$C$8,Lookups!$B$143:$B$196,0)),"Wilmington, DE",IF(ISNUMBER(MATCH(Summary!$C$8,Lookups!$C$143:$C$187,0)),"Dover, DE",0)),"")</f>
        <v>0</v>
      </c>
      <c r="C8" s="427">
        <v>4</v>
      </c>
      <c r="D8" s="622"/>
      <c r="E8" s="622"/>
      <c r="F8" s="622"/>
      <c r="G8" s="622"/>
      <c r="H8" s="622"/>
      <c r="I8" s="622"/>
      <c r="J8" s="622"/>
      <c r="K8" s="10"/>
      <c r="L8" s="628">
        <f>IFERROR(IF(A8=0,0,IF(G8="On/Off",Lookups!$W$147,IF(G8="Micropulse",Lookups!$W$148,0))),0)</f>
        <v>0</v>
      </c>
      <c r="M8" s="629">
        <f>IFERROR(IF(A8=0,0,IF(F8="Cooler",Lookups!$W$151,IF(F8="Freezer",Lookups!$W$152,0))),0)</f>
        <v>0</v>
      </c>
      <c r="N8" s="629">
        <f>IFERROR(IF(B8=0,0,IF(G8="Cooler",Lookups!$W$151,IF(G8="Freezer",Lookups!$W$152,0))),0)</f>
        <v>0</v>
      </c>
      <c r="O8" s="629">
        <f>IFERROR(IF(A8=0,0,INDEX(Lookups!$Y$147:$Z$148,MATCH(G8,Lookups!$X$147:$X$148,0),MATCH('Anti-Sweat Heater Controls'!F8,Lookups!$Y$146:$Z$146,0))),0)</f>
        <v>0</v>
      </c>
      <c r="P8" s="303"/>
      <c r="Q8" s="439" t="str">
        <f t="shared" si="0"/>
        <v/>
      </c>
      <c r="R8" s="439" t="str">
        <f>IFERROR(IF(A8="","",(H8*(Lookups!$W$146-L8)*I8*J8*M8)),0)</f>
        <v/>
      </c>
      <c r="S8" s="596">
        <f>IF(R8=0,0,I8*'Incentive Levels'!$F$39)</f>
        <v>0</v>
      </c>
    </row>
    <row r="9" spans="1:19" s="123" customFormat="1">
      <c r="A9" s="431" t="str">
        <f>IF(Summary!$C$7="","",Summary!$C$7)</f>
        <v/>
      </c>
      <c r="B9" s="431">
        <f>IFERROR(IF(ISNUMBER(MATCH(Summary!$C$8,Lookups!$B$143:$B$196,0)),"Wilmington, DE",IF(ISNUMBER(MATCH(Summary!$C$8,Lookups!$C$143:$C$187,0)),"Dover, DE",0)),"")</f>
        <v>0</v>
      </c>
      <c r="C9" s="427">
        <v>5</v>
      </c>
      <c r="D9" s="622"/>
      <c r="E9" s="622"/>
      <c r="F9" s="622"/>
      <c r="G9" s="622"/>
      <c r="H9" s="622"/>
      <c r="I9" s="622"/>
      <c r="J9" s="622"/>
      <c r="K9" s="6"/>
      <c r="L9" s="628">
        <f>IFERROR(IF(A9=0,0,IF(G9="On/Off",Lookups!$W$147,IF(G9="Micropulse",Lookups!$W$148,0))),0)</f>
        <v>0</v>
      </c>
      <c r="M9" s="629">
        <f>IFERROR(IF(A9=0,0,IF(F9="Cooler",Lookups!$W$151,IF(F9="Freezer",Lookups!$W$152,0))),0)</f>
        <v>0</v>
      </c>
      <c r="N9" s="629">
        <f>IFERROR(IF(B9=0,0,IF(G9="Cooler",Lookups!$W$151,IF(G9="Freezer",Lookups!$W$152,0))),0)</f>
        <v>0</v>
      </c>
      <c r="O9" s="629">
        <f>IFERROR(IF(A9=0,0,INDEX(Lookups!$Y$147:$Z$148,MATCH(G9,Lookups!$X$147:$X$148,0),MATCH('Anti-Sweat Heater Controls'!F9,Lookups!$Y$146:$Z$146,0))),0)</f>
        <v>0</v>
      </c>
      <c r="P9" s="303"/>
      <c r="Q9" s="439" t="str">
        <f t="shared" si="0"/>
        <v/>
      </c>
      <c r="R9" s="439" t="str">
        <f>IFERROR(IF(A9="","",(H9*(Lookups!$W$146-L9)*I9*J9*M9)),0)</f>
        <v/>
      </c>
      <c r="S9" s="596">
        <f>IF(R9=0,0,I9*'Incentive Levels'!$F$39)</f>
        <v>0</v>
      </c>
    </row>
    <row r="10" spans="1:19" s="123" customFormat="1">
      <c r="A10" s="431" t="str">
        <f>IF(Summary!$C$7="","",Summary!$C$7)</f>
        <v/>
      </c>
      <c r="B10" s="431">
        <f>IFERROR(IF(ISNUMBER(MATCH(Summary!$C$8,Lookups!$B$143:$B$196,0)),"Wilmington, DE",IF(ISNUMBER(MATCH(Summary!$C$8,Lookups!$C$143:$C$187,0)),"Dover, DE",0)),"")</f>
        <v>0</v>
      </c>
      <c r="C10" s="427">
        <v>6</v>
      </c>
      <c r="D10" s="622"/>
      <c r="E10" s="622"/>
      <c r="F10" s="622"/>
      <c r="G10" s="622"/>
      <c r="H10" s="622"/>
      <c r="I10" s="622"/>
      <c r="J10" s="622"/>
      <c r="K10" s="6"/>
      <c r="L10" s="628">
        <f>IFERROR(IF(A10=0,0,IF(G10="On/Off",Lookups!$W$147,IF(G10="Micropulse",Lookups!$W$148,0))),0)</f>
        <v>0</v>
      </c>
      <c r="M10" s="629">
        <f>IFERROR(IF(A10=0,0,IF(F10="Cooler",Lookups!$W$151,IF(F10="Freezer",Lookups!$W$152,0))),0)</f>
        <v>0</v>
      </c>
      <c r="N10" s="629">
        <f>IFERROR(IF(B10=0,0,IF(G10="Cooler",Lookups!$W$151,IF(G10="Freezer",Lookups!$W$152,0))),0)</f>
        <v>0</v>
      </c>
      <c r="O10" s="629">
        <f>IFERROR(IF(A10=0,0,INDEX(Lookups!$Y$147:$Z$148,MATCH(G10,Lookups!$X$147:$X$148,0),MATCH('Anti-Sweat Heater Controls'!F10,Lookups!$Y$146:$Z$146,0))),0)</f>
        <v>0</v>
      </c>
      <c r="P10" s="303"/>
      <c r="Q10" s="439" t="str">
        <f t="shared" si="0"/>
        <v/>
      </c>
      <c r="R10" s="439" t="str">
        <f>IFERROR(IF(A10="","",(H10*(Lookups!$W$146-L10)*I10*J10*M10)),0)</f>
        <v/>
      </c>
      <c r="S10" s="596">
        <f>IF(R10=0,0,I10*'Incentive Levels'!$F$39)</f>
        <v>0</v>
      </c>
    </row>
    <row r="11" spans="1:19" s="123" customFormat="1">
      <c r="A11" s="431" t="str">
        <f>IF(Summary!$C$7="","",Summary!$C$7)</f>
        <v/>
      </c>
      <c r="B11" s="431">
        <f>IFERROR(IF(ISNUMBER(MATCH(Summary!$C$8,Lookups!$B$143:$B$196,0)),"Wilmington, DE",IF(ISNUMBER(MATCH(Summary!$C$8,Lookups!$C$143:$C$187,0)),"Dover, DE",0)),"")</f>
        <v>0</v>
      </c>
      <c r="C11" s="427">
        <v>7</v>
      </c>
      <c r="D11" s="622"/>
      <c r="E11" s="622"/>
      <c r="F11" s="622"/>
      <c r="G11" s="622"/>
      <c r="H11" s="622"/>
      <c r="I11" s="622"/>
      <c r="J11" s="622"/>
      <c r="K11" s="6"/>
      <c r="L11" s="628">
        <f>IFERROR(IF(A11=0,0,IF(G11="On/Off",Lookups!$W$147,IF(G11="Micropulse",Lookups!$W$148,0))),0)</f>
        <v>0</v>
      </c>
      <c r="M11" s="629">
        <f>IFERROR(IF(A11=0,0,IF(F11="Cooler",Lookups!$W$151,IF(F11="Freezer",Lookups!$W$152,0))),0)</f>
        <v>0</v>
      </c>
      <c r="N11" s="629">
        <f>IFERROR(IF(B11=0,0,IF(G11="Cooler",Lookups!$W$151,IF(G11="Freezer",Lookups!$W$152,0))),0)</f>
        <v>0</v>
      </c>
      <c r="O11" s="629">
        <f>IFERROR(IF(A11=0,0,INDEX(Lookups!$Y$147:$Z$148,MATCH(G11,Lookups!$X$147:$X$148,0),MATCH('Anti-Sweat Heater Controls'!F11,Lookups!$Y$146:$Z$146,0))),0)</f>
        <v>0</v>
      </c>
      <c r="P11" s="303"/>
      <c r="Q11" s="439" t="str">
        <f t="shared" si="0"/>
        <v/>
      </c>
      <c r="R11" s="439" t="str">
        <f>IFERROR(IF(A11="","",(H11*(Lookups!$W$146-L11)*I11*J11*M11)),0)</f>
        <v/>
      </c>
      <c r="S11" s="596">
        <f>IF(R11=0,0,I11*'Incentive Levels'!$F$39)</f>
        <v>0</v>
      </c>
    </row>
    <row r="12" spans="1:19" s="123" customFormat="1">
      <c r="A12" s="431" t="str">
        <f>IF(Summary!$C$7="","",Summary!$C$7)</f>
        <v/>
      </c>
      <c r="B12" s="431">
        <f>IFERROR(IF(ISNUMBER(MATCH(Summary!$C$8,Lookups!$B$143:$B$196,0)),"Wilmington, DE",IF(ISNUMBER(MATCH(Summary!$C$8,Lookups!$C$143:$C$187,0)),"Dover, DE",0)),"")</f>
        <v>0</v>
      </c>
      <c r="C12" s="427">
        <v>8</v>
      </c>
      <c r="D12" s="622"/>
      <c r="E12" s="622"/>
      <c r="F12" s="622"/>
      <c r="G12" s="622"/>
      <c r="H12" s="622"/>
      <c r="I12" s="622"/>
      <c r="J12" s="622"/>
      <c r="K12" s="6"/>
      <c r="L12" s="628">
        <f>IFERROR(IF(A12=0,0,IF(G12="On/Off",Lookups!$W$147,IF(G12="Micropulse",Lookups!$W$148,0))),0)</f>
        <v>0</v>
      </c>
      <c r="M12" s="629">
        <f>IFERROR(IF(A12=0,0,IF(F12="Cooler",Lookups!$W$151,IF(F12="Freezer",Lookups!$W$152,0))),0)</f>
        <v>0</v>
      </c>
      <c r="N12" s="629">
        <f>IFERROR(IF(B12=0,0,IF(G12="Cooler",Lookups!$W$151,IF(G12="Freezer",Lookups!$W$152,0))),0)</f>
        <v>0</v>
      </c>
      <c r="O12" s="629">
        <f>IFERROR(IF(A12=0,0,INDEX(Lookups!$Y$147:$Z$148,MATCH(G12,Lookups!$X$147:$X$148,0),MATCH('Anti-Sweat Heater Controls'!F12,Lookups!$Y$146:$Z$146,0))),0)</f>
        <v>0</v>
      </c>
      <c r="P12" s="303"/>
      <c r="Q12" s="439" t="str">
        <f t="shared" si="0"/>
        <v/>
      </c>
      <c r="R12" s="439" t="str">
        <f>IFERROR(IF(A12="","",(H12*(Lookups!$W$146-L12)*I12*J12*M12)),0)</f>
        <v/>
      </c>
      <c r="S12" s="596">
        <f>IF(R12=0,0,I12*'Incentive Levels'!$F$39)</f>
        <v>0</v>
      </c>
    </row>
    <row r="13" spans="1:19" s="123" customFormat="1">
      <c r="C13" s="124" t="s">
        <v>907</v>
      </c>
      <c r="K13" s="6"/>
      <c r="L13" s="302"/>
      <c r="M13" s="304"/>
      <c r="N13" s="304"/>
      <c r="O13" s="304"/>
      <c r="P13" s="303"/>
    </row>
    <row r="14" spans="1:19" s="123" customFormat="1">
      <c r="C14" s="125"/>
      <c r="K14" s="6"/>
      <c r="L14" s="302"/>
      <c r="M14" s="304"/>
      <c r="N14" s="304"/>
      <c r="O14" s="304"/>
      <c r="P14" s="303"/>
    </row>
    <row r="15" spans="1:19">
      <c r="C15" s="124"/>
    </row>
    <row r="16" spans="1:19">
      <c r="C16" s="124"/>
    </row>
    <row r="17" spans="3:18">
      <c r="C17" s="124"/>
      <c r="R17" s="96"/>
    </row>
    <row r="18" spans="3:18" ht="14.4">
      <c r="C18" s="124"/>
      <c r="R18" s="97"/>
    </row>
    <row r="19" spans="3:18" ht="14.4">
      <c r="R19" s="97"/>
    </row>
    <row r="20" spans="3:18" ht="14.4">
      <c r="R20" s="97"/>
    </row>
  </sheetData>
  <sheetProtection algorithmName="SHA-512" hashValue="N8gyneUN69gOt1cq3cBj3B+LVjYepvAMwkP1CS908cNCkfarYHC4lP4Y3zcnPIuiuzNkmB2cw5WtVduc5Eo/MQ==" saltValue="lAOUO02Qk2TRvkhYP7RYYw==" spinCount="100000" sheet="1" objects="1" scenarios="1"/>
  <protectedRanges>
    <protectedRange sqref="D5:J12" name="Range1"/>
  </protectedRanges>
  <mergeCells count="17">
    <mergeCell ref="Q2:Q3"/>
    <mergeCell ref="R2:R3"/>
    <mergeCell ref="S2:S3"/>
    <mergeCell ref="G2:G3"/>
    <mergeCell ref="H2:H3"/>
    <mergeCell ref="I2:I3"/>
    <mergeCell ref="J2:J3"/>
    <mergeCell ref="L2:L3"/>
    <mergeCell ref="M2:M3"/>
    <mergeCell ref="N2:N3"/>
    <mergeCell ref="O2:O3"/>
    <mergeCell ref="F2:F3"/>
    <mergeCell ref="C2:C3"/>
    <mergeCell ref="A2:A3"/>
    <mergeCell ref="B2:B3"/>
    <mergeCell ref="D2:D3"/>
    <mergeCell ref="E2:E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33A7836-059C-40AC-9D17-DBA068810897}">
          <x14:formula1>
            <xm:f>Lookups!$V$147:$V$148</xm:f>
          </x14:formula1>
          <xm:sqref>G5:G12</xm:sqref>
        </x14:dataValidation>
        <x14:dataValidation type="list" allowBlank="1" showInputMessage="1" showErrorMessage="1" xr:uid="{630335D4-54FB-48CE-BF08-2D9A2C1E96A7}">
          <x14:formula1>
            <xm:f>Lookups!$V$151:$V$152</xm:f>
          </x14:formula1>
          <xm:sqref>F5:F12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FB5C-ED54-4C90-9C34-4BC0B3A038C1}">
  <sheetPr codeName="Sheet18">
    <tabColor theme="4" tint="0.39997558519241921"/>
  </sheetPr>
  <dimension ref="A1:AH20"/>
  <sheetViews>
    <sheetView showGridLines="0" topLeftCell="C1" zoomScaleNormal="100" workbookViewId="0">
      <selection activeCell="C1" sqref="C1"/>
    </sheetView>
  </sheetViews>
  <sheetFormatPr defaultColWidth="0" defaultRowHeight="13.8"/>
  <cols>
    <col min="1" max="1" width="19" style="81" hidden="1" customWidth="1"/>
    <col min="2" max="2" width="13.44140625" style="81" hidden="1" customWidth="1"/>
    <col min="3" max="3" width="4.44140625" style="81" customWidth="1"/>
    <col min="4" max="4" width="11.6640625" style="81" bestFit="1" customWidth="1"/>
    <col min="5" max="5" width="13.109375" style="81" bestFit="1" customWidth="1"/>
    <col min="6" max="6" width="33.33203125" style="81" bestFit="1" customWidth="1"/>
    <col min="7" max="8" width="12" style="303" hidden="1" customWidth="1"/>
    <col min="9" max="9" width="14.109375" style="305" customWidth="1"/>
    <col min="10" max="10" width="8.6640625" style="305" customWidth="1"/>
    <col min="11" max="11" width="1.88671875" style="6" customWidth="1"/>
    <col min="12" max="12" width="7.6640625" style="81" bestFit="1" customWidth="1"/>
    <col min="13" max="13" width="8.33203125" style="81" bestFit="1" customWidth="1"/>
    <col min="14" max="14" width="16" style="81" bestFit="1" customWidth="1"/>
    <col min="15" max="15" width="4.109375" style="81" customWidth="1"/>
    <col min="16" max="16" width="10.88671875" style="81" customWidth="1"/>
    <col min="17" max="17" width="10.109375" style="81" hidden="1" customWidth="1"/>
    <col min="18" max="18" width="9.6640625" style="81" hidden="1" customWidth="1"/>
    <col min="19" max="19" width="9" style="81" hidden="1" customWidth="1"/>
    <col min="20" max="34" width="2.6640625" style="81" hidden="1" customWidth="1"/>
    <col min="35" max="16384" width="8" style="81" hidden="1"/>
  </cols>
  <sheetData>
    <row r="1" spans="1:14" ht="29.25" customHeight="1">
      <c r="A1" s="95"/>
      <c r="C1" s="95" t="s">
        <v>908</v>
      </c>
    </row>
    <row r="2" spans="1:14" s="123" customFormat="1" ht="26.25" customHeight="1">
      <c r="A2" s="866" t="s">
        <v>894</v>
      </c>
      <c r="B2" s="866" t="s">
        <v>895</v>
      </c>
      <c r="C2" s="866" t="s">
        <v>589</v>
      </c>
      <c r="D2" s="866" t="s">
        <v>592</v>
      </c>
      <c r="E2" s="866" t="s">
        <v>548</v>
      </c>
      <c r="F2" s="866" t="s">
        <v>909</v>
      </c>
      <c r="G2" s="1034" t="s">
        <v>910</v>
      </c>
      <c r="H2" s="1034" t="s">
        <v>911</v>
      </c>
      <c r="I2" s="866" t="s">
        <v>912</v>
      </c>
      <c r="J2" s="866" t="s">
        <v>679</v>
      </c>
      <c r="K2" s="6"/>
      <c r="L2" s="866" t="s">
        <v>599</v>
      </c>
      <c r="M2" s="866" t="s">
        <v>600</v>
      </c>
      <c r="N2" s="866" t="s">
        <v>601</v>
      </c>
    </row>
    <row r="3" spans="1:14" s="123" customFormat="1" ht="26.25" customHeight="1">
      <c r="A3" s="866"/>
      <c r="B3" s="866"/>
      <c r="C3" s="866"/>
      <c r="D3" s="866"/>
      <c r="E3" s="866"/>
      <c r="F3" s="866"/>
      <c r="G3" s="1035"/>
      <c r="H3" s="1035"/>
      <c r="I3" s="866"/>
      <c r="J3" s="866"/>
      <c r="K3" s="6"/>
      <c r="L3" s="866"/>
      <c r="M3" s="866"/>
      <c r="N3" s="866"/>
    </row>
    <row r="4" spans="1:14" s="123" customFormat="1">
      <c r="A4" s="618"/>
      <c r="B4" s="618"/>
      <c r="C4" s="427" t="s">
        <v>602</v>
      </c>
      <c r="D4" s="624" t="s">
        <v>592</v>
      </c>
      <c r="E4" s="624" t="s">
        <v>548</v>
      </c>
      <c r="F4" s="624" t="s">
        <v>420</v>
      </c>
      <c r="G4" s="629">
        <v>1.9300000000000001E-3</v>
      </c>
      <c r="H4" s="629">
        <v>27.3</v>
      </c>
      <c r="I4" s="630">
        <v>10</v>
      </c>
      <c r="J4" s="630">
        <v>10</v>
      </c>
      <c r="K4" s="6"/>
      <c r="L4" s="621">
        <v>0.02</v>
      </c>
      <c r="M4" s="621">
        <v>273</v>
      </c>
      <c r="N4" s="430">
        <v>250</v>
      </c>
    </row>
    <row r="5" spans="1:14" s="123" customFormat="1">
      <c r="A5" s="631">
        <f>Summary!C7</f>
        <v>0</v>
      </c>
      <c r="B5" s="631">
        <f>IFERROR(IF(ISNUMBER(MATCH(Summary!$C$8,Lookups!$B$143:$B$196,0)),"Wilmington, DE",IF(ISNUMBER(MATCH(Summary!$C$8,Lookups!$C$143:$C$187,0)),"Dover, DE",0)),"")</f>
        <v>0</v>
      </c>
      <c r="C5" s="427">
        <v>1</v>
      </c>
      <c r="D5" s="622"/>
      <c r="E5" s="622"/>
      <c r="F5" s="622"/>
      <c r="G5" s="439">
        <f>IFERROR(IF(A5=0,0,VLOOKUP(F5,Lookups!$V$156:$X$159,3)),0)</f>
        <v>0</v>
      </c>
      <c r="H5" s="439">
        <f>IFERROR(IF(A5=0,0,VLOOKUP(F5,Lookups!$V$156:$X$159,2)),0)</f>
        <v>0</v>
      </c>
      <c r="I5" s="632"/>
      <c r="J5" s="632"/>
      <c r="K5" s="6"/>
      <c r="L5" s="439">
        <f>IFERROR(IF(A5="","",I5*G5),0)</f>
        <v>0</v>
      </c>
      <c r="M5" s="439">
        <f>IFERROR(IF(A5="","",I5*H5),0)</f>
        <v>0</v>
      </c>
      <c r="N5" s="596">
        <f>IF(M5=0,0,J5*'Incentive Levels'!$F$40)</f>
        <v>0</v>
      </c>
    </row>
    <row r="6" spans="1:14" s="123" customFormat="1">
      <c r="A6" s="631">
        <f>Summary!C7</f>
        <v>0</v>
      </c>
      <c r="B6" s="631">
        <f>IFERROR(IF(ISNUMBER(MATCH(Summary!$C$8,Lookups!$B$143:$B$196,0)),"Wilmington, DE",IF(ISNUMBER(MATCH(Summary!$C$8,Lookups!$C$143:$C$187,0)),"Dover, DE",0)),"")</f>
        <v>0</v>
      </c>
      <c r="C6" s="427">
        <v>2</v>
      </c>
      <c r="D6" s="622"/>
      <c r="E6" s="622"/>
      <c r="F6" s="622"/>
      <c r="G6" s="439">
        <f>IFERROR(IF(A6=0,0,VLOOKUP(F6,Lookups!$V$156:$X$159,3)),0)</f>
        <v>0</v>
      </c>
      <c r="H6" s="439">
        <f>IFERROR(IF(A6=0,0,VLOOKUP(F6,Lookups!$V$156:$X$159,2)),0)</f>
        <v>0</v>
      </c>
      <c r="I6" s="632"/>
      <c r="J6" s="632"/>
      <c r="K6" s="6"/>
      <c r="L6" s="439">
        <f t="shared" ref="L6:L12" si="0">IFERROR(IF(A6="","",I6*G6),0)</f>
        <v>0</v>
      </c>
      <c r="M6" s="439">
        <f t="shared" ref="M6:M12" si="1">IFERROR(IF(A6="","",I6*H6),0)</f>
        <v>0</v>
      </c>
      <c r="N6" s="596">
        <f>IF(M6=0,0,J6*'Incentive Levels'!$F$40)</f>
        <v>0</v>
      </c>
    </row>
    <row r="7" spans="1:14" s="123" customFormat="1">
      <c r="A7" s="631">
        <f>Summary!C7</f>
        <v>0</v>
      </c>
      <c r="B7" s="631">
        <f>IFERROR(IF(ISNUMBER(MATCH(Summary!$C$8,Lookups!$B$143:$B$196,0)),"Wilmington, DE",IF(ISNUMBER(MATCH(Summary!$C$8,Lookups!$C$143:$C$187,0)),"Dover, DE",0)),"")</f>
        <v>0</v>
      </c>
      <c r="C7" s="427">
        <v>3</v>
      </c>
      <c r="D7" s="622"/>
      <c r="E7" s="622"/>
      <c r="F7" s="622"/>
      <c r="G7" s="439">
        <f>IFERROR(IF(A7=0,0,VLOOKUP(F7,Lookups!$V$156:$X$159,3)),0)</f>
        <v>0</v>
      </c>
      <c r="H7" s="439">
        <f>IFERROR(IF(A7=0,0,VLOOKUP(F7,Lookups!$V$156:$X$159,2)),0)</f>
        <v>0</v>
      </c>
      <c r="I7" s="632"/>
      <c r="J7" s="632"/>
      <c r="K7" s="6"/>
      <c r="L7" s="439">
        <f t="shared" si="0"/>
        <v>0</v>
      </c>
      <c r="M7" s="439">
        <f t="shared" si="1"/>
        <v>0</v>
      </c>
      <c r="N7" s="596">
        <f>IF(M7=0,0,J7*'Incentive Levels'!$F$40)</f>
        <v>0</v>
      </c>
    </row>
    <row r="8" spans="1:14" s="123" customFormat="1" ht="13.2">
      <c r="A8" s="631">
        <f>Summary!C7</f>
        <v>0</v>
      </c>
      <c r="B8" s="631">
        <f>IFERROR(IF(ISNUMBER(MATCH(Summary!$C$8,Lookups!$B$143:$B$196,0)),"Wilmington, DE",IF(ISNUMBER(MATCH(Summary!$C$8,Lookups!$C$143:$C$187,0)),"Dover, DE",0)),"")</f>
        <v>0</v>
      </c>
      <c r="C8" s="427">
        <v>4</v>
      </c>
      <c r="D8" s="622"/>
      <c r="E8" s="622"/>
      <c r="F8" s="622"/>
      <c r="G8" s="439">
        <f>IFERROR(IF(A8=0,0,VLOOKUP(F8,Lookups!$V$156:$X$159,3)),0)</f>
        <v>0</v>
      </c>
      <c r="H8" s="439">
        <f>IFERROR(IF(A8=0,0,VLOOKUP(F8,Lookups!$V$156:$X$159,2)),0)</f>
        <v>0</v>
      </c>
      <c r="I8" s="632"/>
      <c r="J8" s="632"/>
      <c r="K8" s="10"/>
      <c r="L8" s="439">
        <f t="shared" si="0"/>
        <v>0</v>
      </c>
      <c r="M8" s="439">
        <f t="shared" si="1"/>
        <v>0</v>
      </c>
      <c r="N8" s="596">
        <f>IF(M8=0,0,J8*'Incentive Levels'!$F$40)</f>
        <v>0</v>
      </c>
    </row>
    <row r="9" spans="1:14" s="123" customFormat="1">
      <c r="A9" s="631">
        <f>Summary!C7</f>
        <v>0</v>
      </c>
      <c r="B9" s="631">
        <f>IFERROR(IF(ISNUMBER(MATCH(Summary!$C$8,Lookups!$B$143:$B$196,0)),"Wilmington, DE",IF(ISNUMBER(MATCH(Summary!$C$8,Lookups!$C$143:$C$187,0)),"Dover, DE",0)),"")</f>
        <v>0</v>
      </c>
      <c r="C9" s="427">
        <v>5</v>
      </c>
      <c r="D9" s="622"/>
      <c r="E9" s="622"/>
      <c r="F9" s="622"/>
      <c r="G9" s="439">
        <f>IFERROR(IF(A9=0,0,VLOOKUP(F9,Lookups!$V$156:$X$159,3)),0)</f>
        <v>0</v>
      </c>
      <c r="H9" s="439">
        <f>IFERROR(IF(A9=0,0,VLOOKUP(F9,Lookups!$V$156:$X$159,2)),0)</f>
        <v>0</v>
      </c>
      <c r="I9" s="632"/>
      <c r="J9" s="632"/>
      <c r="K9" s="6"/>
      <c r="L9" s="439">
        <f t="shared" si="0"/>
        <v>0</v>
      </c>
      <c r="M9" s="439">
        <f t="shared" si="1"/>
        <v>0</v>
      </c>
      <c r="N9" s="596">
        <f>IF(M9=0,0,J9*'Incentive Levels'!$F$40)</f>
        <v>0</v>
      </c>
    </row>
    <row r="10" spans="1:14" s="123" customFormat="1">
      <c r="A10" s="631">
        <f>Summary!C7</f>
        <v>0</v>
      </c>
      <c r="B10" s="631">
        <f>IFERROR(IF(ISNUMBER(MATCH(Summary!$C$8,Lookups!$B$143:$B$196,0)),"Wilmington, DE",IF(ISNUMBER(MATCH(Summary!$C$8,Lookups!$C$143:$C$187,0)),"Dover, DE",0)),"")</f>
        <v>0</v>
      </c>
      <c r="C10" s="427">
        <v>6</v>
      </c>
      <c r="D10" s="622"/>
      <c r="E10" s="622"/>
      <c r="F10" s="622"/>
      <c r="G10" s="439">
        <f>IFERROR(IF(A10=0,0,VLOOKUP(F10,Lookups!$V$156:$X$159,3)),0)</f>
        <v>0</v>
      </c>
      <c r="H10" s="439">
        <f>IFERROR(IF(A10=0,0,VLOOKUP(F10,Lookups!$V$156:$X$159,2)),0)</f>
        <v>0</v>
      </c>
      <c r="I10" s="632"/>
      <c r="J10" s="632"/>
      <c r="K10" s="6"/>
      <c r="L10" s="439">
        <f t="shared" si="0"/>
        <v>0</v>
      </c>
      <c r="M10" s="439">
        <f t="shared" si="1"/>
        <v>0</v>
      </c>
      <c r="N10" s="596">
        <f>IF(M10=0,0,J10*'Incentive Levels'!$F$40)</f>
        <v>0</v>
      </c>
    </row>
    <row r="11" spans="1:14" s="123" customFormat="1">
      <c r="A11" s="631">
        <f>Summary!C7</f>
        <v>0</v>
      </c>
      <c r="B11" s="631">
        <f>IFERROR(IF(ISNUMBER(MATCH(Summary!$C$8,Lookups!$B$143:$B$196,0)),"Wilmington, DE",IF(ISNUMBER(MATCH(Summary!$C$8,Lookups!$C$143:$C$187,0)),"Dover, DE",0)),"")</f>
        <v>0</v>
      </c>
      <c r="C11" s="427">
        <v>7</v>
      </c>
      <c r="D11" s="622"/>
      <c r="E11" s="622"/>
      <c r="F11" s="622"/>
      <c r="G11" s="439">
        <f>IFERROR(IF(A11=0,0,VLOOKUP(F11,Lookups!$V$156:$X$159,3)),0)</f>
        <v>0</v>
      </c>
      <c r="H11" s="439">
        <f>IFERROR(IF(A11=0,0,VLOOKUP(F11,Lookups!$V$156:$X$159,2)),0)</f>
        <v>0</v>
      </c>
      <c r="I11" s="632"/>
      <c r="J11" s="632"/>
      <c r="K11" s="6"/>
      <c r="L11" s="439">
        <f t="shared" si="0"/>
        <v>0</v>
      </c>
      <c r="M11" s="439">
        <f t="shared" si="1"/>
        <v>0</v>
      </c>
      <c r="N11" s="596">
        <f>IF(M11=0,0,J11*'Incentive Levels'!$F$40)</f>
        <v>0</v>
      </c>
    </row>
    <row r="12" spans="1:14" s="123" customFormat="1">
      <c r="A12" s="631">
        <f>Summary!C7</f>
        <v>0</v>
      </c>
      <c r="B12" s="631">
        <f>IFERROR(IF(ISNUMBER(MATCH(Summary!$C$8,Lookups!$B$143:$B$196,0)),"Wilmington, DE",IF(ISNUMBER(MATCH(Summary!$C$8,Lookups!$C$143:$C$187,0)),"Dover, DE",0)),"")</f>
        <v>0</v>
      </c>
      <c r="C12" s="427">
        <v>8</v>
      </c>
      <c r="D12" s="622"/>
      <c r="E12" s="622"/>
      <c r="F12" s="622"/>
      <c r="G12" s="439">
        <f>IFERROR(IF(A12=0,0,VLOOKUP(F12,Lookups!$V$156:$X$159,3)),0)</f>
        <v>0</v>
      </c>
      <c r="H12" s="439">
        <f>IFERROR(IF(A12=0,0,VLOOKUP(F12,Lookups!$V$156:$X$159,2)),0)</f>
        <v>0</v>
      </c>
      <c r="I12" s="632"/>
      <c r="J12" s="632"/>
      <c r="K12" s="6"/>
      <c r="L12" s="439">
        <f t="shared" si="0"/>
        <v>0</v>
      </c>
      <c r="M12" s="439">
        <f t="shared" si="1"/>
        <v>0</v>
      </c>
      <c r="N12" s="596">
        <f>IF(M12=0,0,J12*'Incentive Levels'!$F$40)</f>
        <v>0</v>
      </c>
    </row>
    <row r="13" spans="1:14" s="123" customFormat="1">
      <c r="C13" s="124" t="s">
        <v>913</v>
      </c>
      <c r="G13" s="304"/>
      <c r="H13" s="304"/>
      <c r="I13" s="306"/>
      <c r="J13" s="306"/>
      <c r="K13" s="6"/>
    </row>
    <row r="14" spans="1:14" s="123" customFormat="1">
      <c r="C14" s="125"/>
      <c r="G14" s="304"/>
      <c r="H14" s="304"/>
      <c r="I14" s="306"/>
      <c r="J14" s="306"/>
      <c r="K14" s="6"/>
    </row>
    <row r="15" spans="1:14">
      <c r="C15" s="124"/>
    </row>
    <row r="16" spans="1:14">
      <c r="C16" s="124"/>
    </row>
    <row r="17" spans="3:13">
      <c r="C17" s="124"/>
      <c r="M17" s="96"/>
    </row>
    <row r="18" spans="3:13" ht="14.4">
      <c r="C18" s="124"/>
      <c r="M18" s="97"/>
    </row>
    <row r="19" spans="3:13" ht="14.4">
      <c r="M19" s="97"/>
    </row>
    <row r="20" spans="3:13" ht="14.4">
      <c r="M20" s="97"/>
    </row>
  </sheetData>
  <sheetProtection algorithmName="SHA-512" hashValue="hOvXNTqA4TNB0zL1b0NLQrfINuPGwocNHgolNkE3HOD74uk05BM7DYoiyWyrhMpo9e9TzRj2Aw8OGfR6YmE8Ag==" saltValue="KDcDHs9OL+YbD7o0AZchZA==" spinCount="100000" sheet="1" objects="1" scenarios="1"/>
  <protectedRanges>
    <protectedRange sqref="D5:F12 I5:J12" name="Range1"/>
  </protectedRanges>
  <mergeCells count="13">
    <mergeCell ref="L2:L3"/>
    <mergeCell ref="M2:M3"/>
    <mergeCell ref="N2:N3"/>
    <mergeCell ref="J2:J3"/>
    <mergeCell ref="H2:H3"/>
    <mergeCell ref="G2:G3"/>
    <mergeCell ref="I2:I3"/>
    <mergeCell ref="C2:C3"/>
    <mergeCell ref="A2:A3"/>
    <mergeCell ref="B2:B3"/>
    <mergeCell ref="D2:D3"/>
    <mergeCell ref="E2:E3"/>
    <mergeCell ref="F2:F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70DDCA37-39E8-423E-BFB6-59E7B30E87FE}">
          <x14:formula1>
            <xm:f>Lookups!$V$151:$V$152</xm:f>
          </x14:formula1>
          <xm:sqref>F6:F12</xm:sqref>
        </x14:dataValidation>
        <x14:dataValidation type="list" allowBlank="1" showInputMessage="1" showErrorMessage="1" xr:uid="{4A89178D-AB17-4224-A77C-9BB2D15E565C}">
          <x14:formula1>
            <xm:f>Lookups!$V$156:$V$159</xm:f>
          </x14:formula1>
          <xm:sqref>F5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8BCD-19E4-490C-80D5-41DFDC1C29D3}">
  <sheetPr>
    <tabColor theme="4" tint="0.39997558519241921"/>
  </sheetPr>
  <dimension ref="A1:X20"/>
  <sheetViews>
    <sheetView showGridLines="0" zoomScaleNormal="100" workbookViewId="0">
      <selection activeCell="U5" sqref="U5"/>
    </sheetView>
  </sheetViews>
  <sheetFormatPr defaultColWidth="0" defaultRowHeight="13.2"/>
  <cols>
    <col min="1" max="1" width="10.5546875" style="81" customWidth="1"/>
    <col min="2" max="2" width="15.109375" style="81" hidden="1" customWidth="1"/>
    <col min="3" max="3" width="14.33203125" style="81" hidden="1" customWidth="1"/>
    <col min="4" max="4" width="12.109375" style="81" bestFit="1" customWidth="1"/>
    <col min="5" max="6" width="28.44140625" style="81" customWidth="1"/>
    <col min="7" max="7" width="20.5546875" style="81" customWidth="1"/>
    <col min="8" max="8" width="29.44140625" style="81" customWidth="1"/>
    <col min="9" max="10" width="17.88671875" style="81" customWidth="1"/>
    <col min="11" max="20" width="13" style="81" hidden="1" customWidth="1"/>
    <col min="21" max="21" width="12" style="81" customWidth="1"/>
    <col min="22" max="22" width="11.5546875" style="81" customWidth="1"/>
    <col min="23" max="23" width="17.88671875" style="81" customWidth="1"/>
    <col min="24" max="24" width="2.6640625" style="81" customWidth="1"/>
    <col min="25" max="16384" width="8" style="81" hidden="1"/>
  </cols>
  <sheetData>
    <row r="1" spans="1:23" ht="29.25" customHeight="1">
      <c r="A1" s="95" t="s">
        <v>925</v>
      </c>
    </row>
    <row r="2" spans="1:23" s="123" customFormat="1" ht="26.25" customHeight="1">
      <c r="A2" s="1036" t="s">
        <v>589</v>
      </c>
      <c r="B2" s="1036" t="s">
        <v>894</v>
      </c>
      <c r="C2" s="1036" t="s">
        <v>895</v>
      </c>
      <c r="D2" s="1036" t="s">
        <v>592</v>
      </c>
      <c r="E2" s="1036" t="s">
        <v>548</v>
      </c>
      <c r="F2" s="1036" t="s">
        <v>269</v>
      </c>
      <c r="G2" s="1036" t="s">
        <v>926</v>
      </c>
      <c r="H2" s="1036" t="s">
        <v>927</v>
      </c>
      <c r="I2" s="1036" t="s">
        <v>928</v>
      </c>
      <c r="J2" s="1036" t="s">
        <v>929</v>
      </c>
      <c r="K2" s="1036" t="s">
        <v>930</v>
      </c>
      <c r="L2" s="1036" t="s">
        <v>931</v>
      </c>
      <c r="M2" s="1036" t="s">
        <v>932</v>
      </c>
      <c r="N2" s="1036" t="s">
        <v>933</v>
      </c>
      <c r="O2" s="1036" t="s">
        <v>934</v>
      </c>
      <c r="P2" s="1036" t="s">
        <v>935</v>
      </c>
      <c r="Q2" s="1036" t="s">
        <v>936</v>
      </c>
      <c r="R2" s="1036" t="s">
        <v>937</v>
      </c>
      <c r="S2" s="1036" t="s">
        <v>938</v>
      </c>
      <c r="T2" s="1036" t="s">
        <v>939</v>
      </c>
      <c r="U2" s="1036" t="s">
        <v>940</v>
      </c>
      <c r="V2" s="1036" t="s">
        <v>600</v>
      </c>
      <c r="W2" s="1036" t="s">
        <v>601</v>
      </c>
    </row>
    <row r="3" spans="1:23" s="123" customFormat="1" ht="26.25" customHeight="1">
      <c r="A3" s="1036"/>
      <c r="B3" s="1036"/>
      <c r="C3" s="1036"/>
      <c r="D3" s="1036"/>
      <c r="E3" s="1036"/>
      <c r="F3" s="1036"/>
      <c r="G3" s="1036"/>
      <c r="H3" s="1036"/>
      <c r="I3" s="1036"/>
      <c r="J3" s="1036"/>
      <c r="K3" s="1036"/>
      <c r="L3" s="1036"/>
      <c r="M3" s="1036"/>
      <c r="N3" s="1036"/>
      <c r="O3" s="1036"/>
      <c r="P3" s="1036"/>
      <c r="Q3" s="1036"/>
      <c r="R3" s="1036"/>
      <c r="S3" s="1036"/>
      <c r="T3" s="1036"/>
      <c r="U3" s="1036"/>
      <c r="V3" s="1036"/>
      <c r="W3" s="1036"/>
    </row>
    <row r="4" spans="1:23" s="123" customFormat="1">
      <c r="A4" s="636" t="s">
        <v>602</v>
      </c>
      <c r="B4" s="637"/>
      <c r="C4" s="637"/>
      <c r="D4" s="638" t="s">
        <v>592</v>
      </c>
      <c r="E4" s="638" t="s">
        <v>548</v>
      </c>
      <c r="F4" s="638" t="s">
        <v>272</v>
      </c>
      <c r="G4" s="638" t="s">
        <v>278</v>
      </c>
      <c r="H4" s="638" t="s">
        <v>398</v>
      </c>
      <c r="I4" s="639">
        <v>1.05</v>
      </c>
      <c r="J4" s="638">
        <v>1</v>
      </c>
      <c r="K4" s="640">
        <v>1.2</v>
      </c>
      <c r="L4" s="641">
        <v>0.69</v>
      </c>
      <c r="M4" s="642">
        <v>8.33</v>
      </c>
      <c r="N4" s="642">
        <v>4</v>
      </c>
      <c r="O4" s="642">
        <v>70</v>
      </c>
      <c r="P4" s="643">
        <v>0.75</v>
      </c>
      <c r="Q4" s="643">
        <v>0.97</v>
      </c>
      <c r="R4" s="642">
        <v>1</v>
      </c>
      <c r="S4" s="642">
        <v>0</v>
      </c>
      <c r="T4" s="644">
        <v>25</v>
      </c>
      <c r="U4" s="645">
        <v>7.0489792799999957</v>
      </c>
      <c r="V4" s="645">
        <v>0</v>
      </c>
      <c r="W4" s="644">
        <v>25</v>
      </c>
    </row>
    <row r="5" spans="1:23" s="123" customFormat="1">
      <c r="A5" s="636">
        <v>1</v>
      </c>
      <c r="B5" s="646">
        <f>[3]Summary!C7</f>
        <v>0</v>
      </c>
      <c r="C5" s="646">
        <f>IFERROR(IF(ISNUMBER(MATCH([3]Summary!$C$8,[3]Lookups!$B$143:$B$196,0)),"Wilmington, DE",IF(ISNUMBER(MATCH([3]Summary!$C$8,[3]Lookups!$C$143:$C$187,0)),"Dover, DE",0)),"")</f>
        <v>0</v>
      </c>
      <c r="D5" s="647"/>
      <c r="E5" s="647"/>
      <c r="F5" s="647"/>
      <c r="G5" s="647"/>
      <c r="H5" s="647"/>
      <c r="I5" s="648"/>
      <c r="J5" s="647"/>
      <c r="K5" s="649" t="str">
        <f>IFERROR(INDEX('Pre-Rinse Lookups'!$W$136:$W$138,MATCH(H5,'Pre-Rinse Lookups'!$V$136:$V$138,0)),"")</f>
        <v/>
      </c>
      <c r="L5" s="650">
        <v>0.69</v>
      </c>
      <c r="M5" s="651">
        <v>8.33</v>
      </c>
      <c r="N5" s="651" t="str">
        <f>IFERROR(VLOOKUP(F5,'Pre-Rinse Lookups'!$V$52:$W$54,2,FALSE),"")</f>
        <v/>
      </c>
      <c r="O5" s="651">
        <v>70</v>
      </c>
      <c r="P5" s="652">
        <v>0.75</v>
      </c>
      <c r="Q5" s="652">
        <v>0.97</v>
      </c>
      <c r="R5" s="651">
        <f t="shared" ref="R5:R12" si="0">IF(G5="Gas Water Heater",1,0)</f>
        <v>0</v>
      </c>
      <c r="S5" s="651">
        <f>IF(G5="Electric Water Heater",1,0)</f>
        <v>0</v>
      </c>
      <c r="T5" s="653">
        <f>IF(I5&gt;0.75,IF(AND(U5=0,V5=0),0,(R5+S5)*'Incentive Levels'!$F$41),IF(AND(U5=0,V5=0),0,(R5+S5)*'Incentive Levels'!$F$42))</f>
        <v>0</v>
      </c>
      <c r="U5" s="654">
        <f t="shared" ref="U5:U12" si="1">IFERROR(IF(B5=0,0,R5*(J5*(K5-I5)*60*N5*365)*L5*M5*O5*(1/P5)/1000000),"")</f>
        <v>0</v>
      </c>
      <c r="V5" s="654">
        <f>IFERROR(IF(B5=0,0,S5*(J5*(K5-I5)*60*N5*365)*L5*M5*O5*(1/Q5)/3413),"")</f>
        <v>0</v>
      </c>
      <c r="W5" s="655">
        <f t="shared" ref="W5:W12" si="2">T5*J5</f>
        <v>0</v>
      </c>
    </row>
    <row r="6" spans="1:23" s="123" customFormat="1">
      <c r="A6" s="636">
        <v>2</v>
      </c>
      <c r="B6" s="646">
        <f>[3]Summary!C7</f>
        <v>0</v>
      </c>
      <c r="C6" s="646">
        <f>IFERROR(IF(ISNUMBER(MATCH([3]Summary!$C$8,[3]Lookups!$B$143:$B$196,0)),"Wilmington, DE",IF(ISNUMBER(MATCH([3]Summary!$C$8,[3]Lookups!$C$143:$C$187,0)),"Dover, DE",0)),"")</f>
        <v>0</v>
      </c>
      <c r="D6" s="647"/>
      <c r="E6" s="647"/>
      <c r="F6" s="647"/>
      <c r="G6" s="647"/>
      <c r="H6" s="647"/>
      <c r="I6" s="648"/>
      <c r="J6" s="647"/>
      <c r="K6" s="649" t="str">
        <f>IFERROR(INDEX('Pre-Rinse Lookups'!$W$136:$W$138,MATCH(H6,'Pre-Rinse Lookups'!$V$136:$V$138,0)),"")</f>
        <v/>
      </c>
      <c r="L6" s="650">
        <v>0.69</v>
      </c>
      <c r="M6" s="651">
        <v>8.33</v>
      </c>
      <c r="N6" s="651" t="str">
        <f>IFERROR(VLOOKUP(F6,'Pre-Rinse Lookups'!$V$52:$W$54,2,FALSE),"")</f>
        <v/>
      </c>
      <c r="O6" s="651">
        <v>70</v>
      </c>
      <c r="P6" s="652">
        <v>0.75</v>
      </c>
      <c r="Q6" s="652">
        <v>0.97</v>
      </c>
      <c r="R6" s="651">
        <f t="shared" si="0"/>
        <v>0</v>
      </c>
      <c r="S6" s="651">
        <f t="shared" ref="S6:S12" si="3">IF(G6="Electric Water Heater",1,0)</f>
        <v>0</v>
      </c>
      <c r="T6" s="653">
        <f>IF(I6&gt;0.75,IF(AND(U6=0,V6=0),0,(R6+S6)*'Incentive Levels'!$F$41),IF(AND(U6=0,V6=0),0,(R6+S6)*'Incentive Levels'!$F$42))</f>
        <v>0</v>
      </c>
      <c r="U6" s="654">
        <f t="shared" si="1"/>
        <v>0</v>
      </c>
      <c r="V6" s="654">
        <f t="shared" ref="V6:V12" si="4">IFERROR(IF(B6=0,0,S6*(J6*(K6-I6)*60*N6*365)*L6*M6*O6*(1/Q6)/3413),"")</f>
        <v>0</v>
      </c>
      <c r="W6" s="655">
        <f t="shared" si="2"/>
        <v>0</v>
      </c>
    </row>
    <row r="7" spans="1:23" s="123" customFormat="1">
      <c r="A7" s="636">
        <v>3</v>
      </c>
      <c r="B7" s="646">
        <f>[3]Summary!C7</f>
        <v>0</v>
      </c>
      <c r="C7" s="646">
        <f>IFERROR(IF(ISNUMBER(MATCH([3]Summary!$C$8,[3]Lookups!$B$143:$B$196,0)),"Wilmington, DE",IF(ISNUMBER(MATCH([3]Summary!$C$8,[3]Lookups!$C$143:$C$187,0)),"Dover, DE",0)),"")</f>
        <v>0</v>
      </c>
      <c r="D7" s="647"/>
      <c r="E7" s="647"/>
      <c r="F7" s="647"/>
      <c r="G7" s="647"/>
      <c r="H7" s="647"/>
      <c r="I7" s="648"/>
      <c r="J7" s="647"/>
      <c r="K7" s="649" t="str">
        <f>IFERROR(INDEX('Pre-Rinse Lookups'!$W$136:$W$138,MATCH(H7,'Pre-Rinse Lookups'!$V$136:$V$138,0)),"")</f>
        <v/>
      </c>
      <c r="L7" s="650">
        <v>0.69</v>
      </c>
      <c r="M7" s="651">
        <v>8.33</v>
      </c>
      <c r="N7" s="651" t="str">
        <f>IFERROR(VLOOKUP(F7,'Pre-Rinse Lookups'!$V$52:$W$54,2,FALSE),"")</f>
        <v/>
      </c>
      <c r="O7" s="651">
        <v>70</v>
      </c>
      <c r="P7" s="652">
        <v>0.75</v>
      </c>
      <c r="Q7" s="652">
        <v>0.97</v>
      </c>
      <c r="R7" s="651">
        <f t="shared" si="0"/>
        <v>0</v>
      </c>
      <c r="S7" s="651">
        <f t="shared" si="3"/>
        <v>0</v>
      </c>
      <c r="T7" s="653">
        <f>IF(I7&gt;0.75,IF(AND(U7=0,V7=0),0,(R7+S7)*'Incentive Levels'!$F$41),IF(AND(U7=0,V7=0),0,(R7+S7)*'Incentive Levels'!$F$42))</f>
        <v>0</v>
      </c>
      <c r="U7" s="654">
        <f t="shared" si="1"/>
        <v>0</v>
      </c>
      <c r="V7" s="654">
        <f t="shared" si="4"/>
        <v>0</v>
      </c>
      <c r="W7" s="655">
        <f t="shared" si="2"/>
        <v>0</v>
      </c>
    </row>
    <row r="8" spans="1:23" s="123" customFormat="1">
      <c r="A8" s="636">
        <v>4</v>
      </c>
      <c r="B8" s="646">
        <f>[3]Summary!C7</f>
        <v>0</v>
      </c>
      <c r="C8" s="646">
        <f>IFERROR(IF(ISNUMBER(MATCH([3]Summary!$C$8,[3]Lookups!$B$143:$B$196,0)),"Wilmington, DE",IF(ISNUMBER(MATCH([3]Summary!$C$8,[3]Lookups!$C$143:$C$187,0)),"Dover, DE",0)),"")</f>
        <v>0</v>
      </c>
      <c r="D8" s="647"/>
      <c r="E8" s="647"/>
      <c r="F8" s="647"/>
      <c r="G8" s="647"/>
      <c r="H8" s="647"/>
      <c r="I8" s="648"/>
      <c r="J8" s="647"/>
      <c r="K8" s="649" t="str">
        <f>IFERROR(INDEX('Pre-Rinse Lookups'!$W$136:$W$138,MATCH(H8,'Pre-Rinse Lookups'!$V$136:$V$138,0)),"")</f>
        <v/>
      </c>
      <c r="L8" s="650">
        <v>0.69</v>
      </c>
      <c r="M8" s="651">
        <v>8.33</v>
      </c>
      <c r="N8" s="651" t="str">
        <f>IFERROR(VLOOKUP(F8,'Pre-Rinse Lookups'!$V$52:$W$54,2,FALSE),"")</f>
        <v/>
      </c>
      <c r="O8" s="651">
        <v>70</v>
      </c>
      <c r="P8" s="652">
        <v>0.75</v>
      </c>
      <c r="Q8" s="652">
        <v>0.97</v>
      </c>
      <c r="R8" s="651">
        <f t="shared" si="0"/>
        <v>0</v>
      </c>
      <c r="S8" s="651">
        <f t="shared" si="3"/>
        <v>0</v>
      </c>
      <c r="T8" s="653">
        <f>IF(I8&gt;0.75,IF(AND(U8=0,V8=0),0,(R8+S8)*'Incentive Levels'!$F$41),IF(AND(U8=0,V8=0),0,(R8+S8)*'Incentive Levels'!$F$42))</f>
        <v>0</v>
      </c>
      <c r="U8" s="654">
        <f t="shared" si="1"/>
        <v>0</v>
      </c>
      <c r="V8" s="654">
        <f t="shared" si="4"/>
        <v>0</v>
      </c>
      <c r="W8" s="655">
        <f t="shared" si="2"/>
        <v>0</v>
      </c>
    </row>
    <row r="9" spans="1:23" s="123" customFormat="1">
      <c r="A9" s="636">
        <v>5</v>
      </c>
      <c r="B9" s="646">
        <f>[3]Summary!C7</f>
        <v>0</v>
      </c>
      <c r="C9" s="646">
        <f>IFERROR(IF(ISNUMBER(MATCH([3]Summary!$C$8,[3]Lookups!$B$143:$B$196,0)),"Wilmington, DE",IF(ISNUMBER(MATCH([3]Summary!$C$8,[3]Lookups!$C$143:$C$187,0)),"Dover, DE",0)),"")</f>
        <v>0</v>
      </c>
      <c r="D9" s="647"/>
      <c r="E9" s="647"/>
      <c r="F9" s="647"/>
      <c r="G9" s="647"/>
      <c r="H9" s="647"/>
      <c r="I9" s="648"/>
      <c r="J9" s="647"/>
      <c r="K9" s="649" t="str">
        <f>IFERROR(INDEX('Pre-Rinse Lookups'!$W$136:$W$138,MATCH(H9,'Pre-Rinse Lookups'!$V$136:$V$138,0)),"")</f>
        <v/>
      </c>
      <c r="L9" s="650">
        <v>0.69</v>
      </c>
      <c r="M9" s="651">
        <v>8.33</v>
      </c>
      <c r="N9" s="651" t="str">
        <f>IFERROR(VLOOKUP(F9,'Pre-Rinse Lookups'!$V$52:$W$54,2,FALSE),"")</f>
        <v/>
      </c>
      <c r="O9" s="651">
        <v>70</v>
      </c>
      <c r="P9" s="652">
        <v>0.75</v>
      </c>
      <c r="Q9" s="652">
        <v>0.97</v>
      </c>
      <c r="R9" s="651">
        <f t="shared" si="0"/>
        <v>0</v>
      </c>
      <c r="S9" s="651">
        <f t="shared" si="3"/>
        <v>0</v>
      </c>
      <c r="T9" s="653">
        <f>IF(I9&gt;0.75,IF(AND(U9=0,V9=0),0,(R9+S9)*'Incentive Levels'!$F$41),IF(AND(U9=0,V9=0),0,(R9+S9)*'Incentive Levels'!$F$42))</f>
        <v>0</v>
      </c>
      <c r="U9" s="654">
        <f t="shared" si="1"/>
        <v>0</v>
      </c>
      <c r="V9" s="654">
        <f t="shared" si="4"/>
        <v>0</v>
      </c>
      <c r="W9" s="655">
        <f t="shared" si="2"/>
        <v>0</v>
      </c>
    </row>
    <row r="10" spans="1:23" s="123" customFormat="1">
      <c r="A10" s="636">
        <v>6</v>
      </c>
      <c r="B10" s="646">
        <f>[3]Summary!C7</f>
        <v>0</v>
      </c>
      <c r="C10" s="646">
        <f>IFERROR(IF(ISNUMBER(MATCH([3]Summary!$C$8,[3]Lookups!$B$143:$B$196,0)),"Wilmington, DE",IF(ISNUMBER(MATCH([3]Summary!$C$8,[3]Lookups!$C$143:$C$187,0)),"Dover, DE",0)),"")</f>
        <v>0</v>
      </c>
      <c r="D10" s="647"/>
      <c r="E10" s="647"/>
      <c r="F10" s="647"/>
      <c r="G10" s="647"/>
      <c r="H10" s="647"/>
      <c r="I10" s="648"/>
      <c r="J10" s="647"/>
      <c r="K10" s="649" t="str">
        <f>IFERROR(INDEX('Pre-Rinse Lookups'!$W$136:$W$138,MATCH(H10,'Pre-Rinse Lookups'!$V$136:$V$138,0)),"")</f>
        <v/>
      </c>
      <c r="L10" s="650">
        <v>0.69</v>
      </c>
      <c r="M10" s="651">
        <v>8.33</v>
      </c>
      <c r="N10" s="651" t="str">
        <f>IFERROR(VLOOKUP(F10,'Pre-Rinse Lookups'!$V$52:$W$54,2,FALSE),"")</f>
        <v/>
      </c>
      <c r="O10" s="651">
        <v>70</v>
      </c>
      <c r="P10" s="652">
        <v>0.75</v>
      </c>
      <c r="Q10" s="652">
        <v>0.97</v>
      </c>
      <c r="R10" s="651">
        <f t="shared" si="0"/>
        <v>0</v>
      </c>
      <c r="S10" s="651">
        <f t="shared" si="3"/>
        <v>0</v>
      </c>
      <c r="T10" s="653">
        <f>IF(I10&gt;0.75,IF(AND(U10=0,V10=0),0,(R10+S10)*'Incentive Levels'!$F$41),IF(AND(U10=0,V10=0),0,(R10+S10)*'Incentive Levels'!$F$42))</f>
        <v>0</v>
      </c>
      <c r="U10" s="654">
        <f t="shared" si="1"/>
        <v>0</v>
      </c>
      <c r="V10" s="654">
        <f t="shared" si="4"/>
        <v>0</v>
      </c>
      <c r="W10" s="655">
        <f t="shared" si="2"/>
        <v>0</v>
      </c>
    </row>
    <row r="11" spans="1:23" s="123" customFormat="1">
      <c r="A11" s="636">
        <v>7</v>
      </c>
      <c r="B11" s="646">
        <f>[3]Summary!C7</f>
        <v>0</v>
      </c>
      <c r="C11" s="646">
        <f>IFERROR(IF(ISNUMBER(MATCH([3]Summary!$C$8,[3]Lookups!$B$143:$B$196,0)),"Wilmington, DE",IF(ISNUMBER(MATCH([3]Summary!$C$8,[3]Lookups!$C$143:$C$187,0)),"Dover, DE",0)),"")</f>
        <v>0</v>
      </c>
      <c r="D11" s="647"/>
      <c r="E11" s="647"/>
      <c r="F11" s="647"/>
      <c r="G11" s="647"/>
      <c r="H11" s="647"/>
      <c r="I11" s="648"/>
      <c r="J11" s="647"/>
      <c r="K11" s="649" t="str">
        <f>IFERROR(INDEX('Pre-Rinse Lookups'!$W$136:$W$138,MATCH(H11,'Pre-Rinse Lookups'!$V$136:$V$138,0)),"")</f>
        <v/>
      </c>
      <c r="L11" s="650">
        <v>0.69</v>
      </c>
      <c r="M11" s="651">
        <v>8.33</v>
      </c>
      <c r="N11" s="651" t="str">
        <f>IFERROR(VLOOKUP(F11,'Pre-Rinse Lookups'!$V$52:$W$54,2,FALSE),"")</f>
        <v/>
      </c>
      <c r="O11" s="651">
        <v>70</v>
      </c>
      <c r="P11" s="652">
        <v>0.75</v>
      </c>
      <c r="Q11" s="652">
        <v>0.97</v>
      </c>
      <c r="R11" s="651">
        <f t="shared" si="0"/>
        <v>0</v>
      </c>
      <c r="S11" s="651">
        <f t="shared" si="3"/>
        <v>0</v>
      </c>
      <c r="T11" s="653">
        <f>IF(I11&gt;0.75,IF(AND(U11=0,V11=0),0,(R11+S11)*'Incentive Levels'!$F$41),IF(AND(U11=0,V11=0),0,(R11+S11)*'Incentive Levels'!$F$42))</f>
        <v>0</v>
      </c>
      <c r="U11" s="654">
        <f t="shared" si="1"/>
        <v>0</v>
      </c>
      <c r="V11" s="654">
        <f t="shared" si="4"/>
        <v>0</v>
      </c>
      <c r="W11" s="655">
        <f t="shared" si="2"/>
        <v>0</v>
      </c>
    </row>
    <row r="12" spans="1:23" s="123" customFormat="1">
      <c r="A12" s="636">
        <v>8</v>
      </c>
      <c r="B12" s="646">
        <f>[3]Summary!C7</f>
        <v>0</v>
      </c>
      <c r="C12" s="646">
        <f>IFERROR(IF(ISNUMBER(MATCH([3]Summary!$C$8,[3]Lookups!$B$143:$B$196,0)),"Wilmington, DE",IF(ISNUMBER(MATCH([3]Summary!$C$8,[3]Lookups!$C$143:$C$187,0)),"Dover, DE",0)),"")</f>
        <v>0</v>
      </c>
      <c r="D12" s="647"/>
      <c r="E12" s="647"/>
      <c r="F12" s="647"/>
      <c r="G12" s="647"/>
      <c r="H12" s="647"/>
      <c r="I12" s="648"/>
      <c r="J12" s="647"/>
      <c r="K12" s="649" t="str">
        <f>IFERROR(INDEX('Pre-Rinse Lookups'!$W$136:$W$138,MATCH(H12,'Pre-Rinse Lookups'!$V$136:$V$138,0)),"")</f>
        <v/>
      </c>
      <c r="L12" s="650">
        <v>0.69</v>
      </c>
      <c r="M12" s="651">
        <v>8.33</v>
      </c>
      <c r="N12" s="651" t="str">
        <f>IFERROR(VLOOKUP(F12,'Pre-Rinse Lookups'!$V$52:$W$54,2,FALSE),"")</f>
        <v/>
      </c>
      <c r="O12" s="651">
        <v>70</v>
      </c>
      <c r="P12" s="652">
        <v>0.75</v>
      </c>
      <c r="Q12" s="652">
        <v>0.97</v>
      </c>
      <c r="R12" s="651">
        <f t="shared" si="0"/>
        <v>0</v>
      </c>
      <c r="S12" s="651">
        <f t="shared" si="3"/>
        <v>0</v>
      </c>
      <c r="T12" s="653">
        <f>IF(I12&gt;0.75,IF(AND(U12=0,V12=0),0,(R12+S12)*'Incentive Levels'!$F$41),IF(AND(U12=0,V12=0),0,(R12+S12)*'Incentive Levels'!$F$42))</f>
        <v>0</v>
      </c>
      <c r="U12" s="654">
        <f t="shared" si="1"/>
        <v>0</v>
      </c>
      <c r="V12" s="654">
        <f t="shared" si="4"/>
        <v>0</v>
      </c>
      <c r="W12" s="655">
        <f t="shared" si="2"/>
        <v>0</v>
      </c>
    </row>
    <row r="13" spans="1:23" s="123" customFormat="1">
      <c r="A13" s="124" t="s">
        <v>941</v>
      </c>
    </row>
    <row r="14" spans="1:23" s="123" customFormat="1">
      <c r="A14" s="125" t="s">
        <v>212</v>
      </c>
    </row>
    <row r="15" spans="1:23" s="123" customFormat="1">
      <c r="A15" s="124" t="s">
        <v>942</v>
      </c>
    </row>
    <row r="16" spans="1:23" s="123" customFormat="1">
      <c r="A16" s="125" t="s">
        <v>943</v>
      </c>
    </row>
    <row r="17" spans="11:13">
      <c r="K17" s="96"/>
      <c r="L17" s="96"/>
      <c r="M17" s="96"/>
    </row>
    <row r="18" spans="11:13" ht="14.4">
      <c r="K18" s="97"/>
      <c r="L18" s="97"/>
      <c r="M18" s="97"/>
    </row>
    <row r="19" spans="11:13" ht="14.4">
      <c r="K19" s="97"/>
      <c r="L19" s="97"/>
      <c r="M19" s="97"/>
    </row>
    <row r="20" spans="11:13" ht="14.4">
      <c r="K20" s="97"/>
      <c r="L20" s="97"/>
      <c r="M20" s="97"/>
    </row>
  </sheetData>
  <sheetProtection algorithmName="SHA-512" hashValue="tS64GYLpBLBAO+0ovVNuWJF1sdYoU+lV1U5t2vOpUKJbXx0WV6wLHskatv+r5PcjO8nEGcF7WtNUke+BwqBbRg==" saltValue="U2U3/1YbaQbWnlaoA8FoJQ==" spinCount="100000" sheet="1" objects="1" scenarios="1"/>
  <protectedRanges>
    <protectedRange sqref="D5:J12" name="Range1"/>
  </protectedRanges>
  <mergeCells count="23">
    <mergeCell ref="S2:S3"/>
    <mergeCell ref="T2:T3"/>
    <mergeCell ref="U2:U3"/>
    <mergeCell ref="V2:V3"/>
    <mergeCell ref="W2:W3"/>
    <mergeCell ref="R2:R3"/>
    <mergeCell ref="G2:G3"/>
    <mergeCell ref="H2:H3"/>
    <mergeCell ref="I2:I3"/>
    <mergeCell ref="J2:J3"/>
    <mergeCell ref="K2:K3"/>
    <mergeCell ref="L2:L3"/>
    <mergeCell ref="M2:M3"/>
    <mergeCell ref="N2:N3"/>
    <mergeCell ref="O2:O3"/>
    <mergeCell ref="P2:P3"/>
    <mergeCell ref="Q2:Q3"/>
    <mergeCell ref="F2:F3"/>
    <mergeCell ref="A2:A3"/>
    <mergeCell ref="B2:B3"/>
    <mergeCell ref="C2:C3"/>
    <mergeCell ref="D2:D3"/>
    <mergeCell ref="E2:E3"/>
  </mergeCells>
  <dataValidations count="1">
    <dataValidation allowBlank="1" showInputMessage="1" showErrorMessage="1" promptTitle="Maximum Flow Rates" prompt="_x000a_Product Class 1 - 1.00 GPM_x000a_Product Class 2 - 1.20 GPM_x000a_Product Class 3 - 1.28 GPM" sqref="I5:I12" xr:uid="{07A14CF3-4A2B-4DB5-AB77-9CC1FA7F2A32}"/>
  </dataValidations>
  <hyperlinks>
    <hyperlink ref="A14" r:id="rId1" xr:uid="{CE909E90-6B3D-479A-B44B-BFC3B4A3C94B}"/>
    <hyperlink ref="A16" r:id="rId2" xr:uid="{92791F69-EE11-4C20-8E5B-C836EFEB503A}"/>
  </hyperlink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8A43F-B516-4861-ADC6-1498876FD722}">
  <dimension ref="A1:AC329"/>
  <sheetViews>
    <sheetView zoomScale="85" zoomScaleNormal="85" workbookViewId="0">
      <selection activeCell="F57" sqref="F57"/>
    </sheetView>
  </sheetViews>
  <sheetFormatPr defaultColWidth="9.109375" defaultRowHeight="13.8"/>
  <cols>
    <col min="1" max="1" width="9.109375" style="12"/>
    <col min="2" max="2" width="28" style="12" customWidth="1"/>
    <col min="3" max="3" width="13" style="12" customWidth="1"/>
    <col min="4" max="4" width="42.88671875" style="12" customWidth="1"/>
    <col min="5" max="5" width="11" style="12" customWidth="1"/>
    <col min="6" max="6" width="20.44140625" style="12" customWidth="1"/>
    <col min="7" max="7" width="9.109375" style="12"/>
    <col min="8" max="8" width="12.33203125" style="1" customWidth="1"/>
    <col min="9" max="9" width="23.6640625" style="1" customWidth="1"/>
    <col min="10" max="10" width="31.6640625" style="1" customWidth="1"/>
    <col min="11" max="11" width="23.33203125" style="1" customWidth="1"/>
    <col min="12" max="12" width="26.33203125" style="1" customWidth="1"/>
    <col min="13" max="13" width="74.44140625" style="1" customWidth="1"/>
    <col min="14" max="19" width="14" style="1" customWidth="1"/>
    <col min="20" max="20" width="27.33203125" style="12" bestFit="1" customWidth="1"/>
    <col min="21" max="21" width="1.88671875" style="134" customWidth="1"/>
    <col min="22" max="24" width="14" style="12" customWidth="1"/>
    <col min="25" max="25" width="29.33203125" style="12" customWidth="1"/>
    <col min="26" max="26" width="18.6640625" style="12" customWidth="1"/>
    <col min="27" max="27" width="34.6640625" style="12" bestFit="1" customWidth="1"/>
    <col min="28" max="16384" width="9.109375" style="12"/>
  </cols>
  <sheetData>
    <row r="1" spans="1:29" ht="17.399999999999999">
      <c r="A1" s="13" t="s">
        <v>96</v>
      </c>
      <c r="U1" s="133"/>
      <c r="V1" s="13" t="s">
        <v>97</v>
      </c>
    </row>
    <row r="2" spans="1:29">
      <c r="H2" s="1039" t="s">
        <v>98</v>
      </c>
      <c r="I2" s="1039" t="s">
        <v>292</v>
      </c>
      <c r="J2" s="1039" t="s">
        <v>221</v>
      </c>
      <c r="K2" s="1039" t="s">
        <v>293</v>
      </c>
      <c r="L2" s="1039" t="s">
        <v>294</v>
      </c>
      <c r="M2" s="1039" t="s">
        <v>295</v>
      </c>
      <c r="N2" s="1038" t="s">
        <v>104</v>
      </c>
      <c r="O2" s="1038" t="s">
        <v>105</v>
      </c>
      <c r="P2" s="1038" t="s">
        <v>106</v>
      </c>
      <c r="Q2" s="1038" t="s">
        <v>107</v>
      </c>
      <c r="R2" s="1039" t="s">
        <v>108</v>
      </c>
      <c r="S2" s="1039"/>
      <c r="T2" s="5"/>
      <c r="V2" s="81"/>
      <c r="W2" s="834" t="s">
        <v>109</v>
      </c>
      <c r="X2" s="834"/>
      <c r="Y2" s="834" t="s">
        <v>110</v>
      </c>
      <c r="Z2" s="834"/>
      <c r="AA2" s="835" t="s">
        <v>111</v>
      </c>
      <c r="AB2" s="835"/>
      <c r="AC2" s="81"/>
    </row>
    <row r="3" spans="1:29" ht="14.4">
      <c r="B3" s="656" t="s">
        <v>112</v>
      </c>
      <c r="D3" s="656" t="s">
        <v>113</v>
      </c>
      <c r="F3"/>
      <c r="H3" s="1039"/>
      <c r="I3" s="1039"/>
      <c r="J3" s="1039"/>
      <c r="K3" s="1039"/>
      <c r="L3" s="1039"/>
      <c r="M3" s="1039"/>
      <c r="N3" s="1038"/>
      <c r="O3" s="1038"/>
      <c r="P3" s="1038"/>
      <c r="Q3" s="1038"/>
      <c r="R3" s="1039"/>
      <c r="S3" s="1039"/>
      <c r="T3" s="5"/>
      <c r="V3" s="369" t="s">
        <v>115</v>
      </c>
      <c r="W3" s="657" t="s">
        <v>116</v>
      </c>
      <c r="X3" s="657" t="s">
        <v>117</v>
      </c>
      <c r="Y3" s="657" t="s">
        <v>116</v>
      </c>
      <c r="Z3" s="657" t="s">
        <v>117</v>
      </c>
      <c r="AA3" s="657" t="s">
        <v>118</v>
      </c>
      <c r="AB3" s="657" t="s">
        <v>119</v>
      </c>
      <c r="AC3" s="81"/>
    </row>
    <row r="4" spans="1:29" ht="15" customHeight="1">
      <c r="B4" s="658" t="s">
        <v>120</v>
      </c>
      <c r="D4" s="658" t="s">
        <v>121</v>
      </c>
      <c r="F4"/>
      <c r="H4" s="811" t="s">
        <v>277</v>
      </c>
      <c r="I4" s="659" t="s">
        <v>232</v>
      </c>
      <c r="J4" s="659" t="s">
        <v>944</v>
      </c>
      <c r="K4" s="659" t="s">
        <v>204</v>
      </c>
      <c r="L4" s="659" t="s">
        <v>126</v>
      </c>
      <c r="M4" s="659" t="str">
        <f t="shared" ref="M4:M63" si="0">_xlfn.CONCAT(I4," ",J4,K4," ",L4)</f>
        <v>Air Cooled Split &lt;5.4 tons Electric Resistance (or None)</v>
      </c>
      <c r="N4" s="660">
        <f>(-0.02*(O4)^2)+(1.12*O4)</f>
        <v>11.180000000000003</v>
      </c>
      <c r="O4" s="661">
        <v>13</v>
      </c>
      <c r="P4" s="660">
        <v>12.5</v>
      </c>
      <c r="Q4" s="660">
        <v>15</v>
      </c>
      <c r="R4" s="1037" t="s">
        <v>127</v>
      </c>
      <c r="S4" s="1037"/>
      <c r="T4" s="5"/>
      <c r="V4" s="132" t="s">
        <v>128</v>
      </c>
      <c r="W4" s="99">
        <v>1114</v>
      </c>
      <c r="X4" s="99">
        <v>1150</v>
      </c>
      <c r="Y4" s="662">
        <v>937</v>
      </c>
      <c r="Z4" s="662">
        <v>922</v>
      </c>
      <c r="AA4" s="662" t="s">
        <v>128</v>
      </c>
      <c r="AB4" s="662">
        <v>239</v>
      </c>
      <c r="AC4" s="81"/>
    </row>
    <row r="5" spans="1:29" ht="14.25" customHeight="1">
      <c r="B5" s="658" t="s">
        <v>129</v>
      </c>
      <c r="D5" s="658" t="s">
        <v>130</v>
      </c>
      <c r="F5"/>
      <c r="H5" s="812"/>
      <c r="I5" s="659" t="s">
        <v>232</v>
      </c>
      <c r="J5" s="659" t="s">
        <v>944</v>
      </c>
      <c r="K5" s="659" t="s">
        <v>204</v>
      </c>
      <c r="L5" s="659" t="s">
        <v>133</v>
      </c>
      <c r="M5" s="659" t="str">
        <f t="shared" si="0"/>
        <v>Air Cooled Split &lt;5.4 tons Other</v>
      </c>
      <c r="N5" s="660">
        <f>(-0.02*(O5)^2)+(1.12*O5)</f>
        <v>11.180000000000003</v>
      </c>
      <c r="O5" s="661">
        <v>13</v>
      </c>
      <c r="P5" s="660">
        <v>12.5</v>
      </c>
      <c r="Q5" s="660">
        <v>15</v>
      </c>
      <c r="R5" s="1037" t="s">
        <v>127</v>
      </c>
      <c r="S5" s="1037"/>
      <c r="T5" s="5"/>
      <c r="V5" s="375" t="s">
        <v>134</v>
      </c>
      <c r="W5" s="662">
        <v>713</v>
      </c>
      <c r="X5" s="662">
        <v>736</v>
      </c>
      <c r="Y5" s="662">
        <v>713</v>
      </c>
      <c r="Z5" s="662">
        <v>701</v>
      </c>
      <c r="AA5" s="662" t="s">
        <v>135</v>
      </c>
      <c r="AB5" s="662">
        <v>1520</v>
      </c>
      <c r="AC5" s="81"/>
    </row>
    <row r="6" spans="1:29" ht="14.25" customHeight="1">
      <c r="B6" s="658" t="s">
        <v>945</v>
      </c>
      <c r="D6" s="658" t="s">
        <v>136</v>
      </c>
      <c r="F6"/>
      <c r="H6" s="812"/>
      <c r="I6" s="659" t="s">
        <v>232</v>
      </c>
      <c r="J6" s="659" t="s">
        <v>946</v>
      </c>
      <c r="K6" s="659" t="s">
        <v>204</v>
      </c>
      <c r="L6" s="659" t="s">
        <v>126</v>
      </c>
      <c r="M6" s="659" t="str">
        <f t="shared" si="0"/>
        <v>Air Cooled Packaged &lt;5.4 tons Electric Resistance (or None)</v>
      </c>
      <c r="N6" s="660">
        <f>(-0.02*(O6)^2)+(1.12*O6)</f>
        <v>11.760000000000002</v>
      </c>
      <c r="O6" s="661">
        <v>14</v>
      </c>
      <c r="P6" s="660">
        <v>12</v>
      </c>
      <c r="Q6" s="660">
        <v>15</v>
      </c>
      <c r="R6" s="1037" t="s">
        <v>127</v>
      </c>
      <c r="S6" s="1037"/>
      <c r="T6" s="5"/>
      <c r="U6" s="135"/>
      <c r="V6" s="375" t="s">
        <v>139</v>
      </c>
      <c r="W6" s="662">
        <v>668</v>
      </c>
      <c r="X6" s="662">
        <v>689</v>
      </c>
      <c r="Y6" s="662">
        <v>293</v>
      </c>
      <c r="Z6" s="662">
        <v>288</v>
      </c>
      <c r="AA6" s="662" t="s">
        <v>140</v>
      </c>
      <c r="AB6" s="662">
        <v>250</v>
      </c>
      <c r="AC6" s="81"/>
    </row>
    <row r="7" spans="1:29" ht="15" customHeight="1">
      <c r="D7" s="658" t="s">
        <v>141</v>
      </c>
      <c r="F7"/>
      <c r="H7" s="812"/>
      <c r="I7" s="659" t="s">
        <v>232</v>
      </c>
      <c r="J7" s="659" t="s">
        <v>946</v>
      </c>
      <c r="K7" s="659" t="s">
        <v>204</v>
      </c>
      <c r="L7" s="659" t="s">
        <v>133</v>
      </c>
      <c r="M7" s="659" t="str">
        <f t="shared" si="0"/>
        <v>Air Cooled Packaged &lt;5.4 tons Other</v>
      </c>
      <c r="N7" s="660">
        <f>(-0.02*(O7)^2)+(1.12*O7)</f>
        <v>11.760000000000002</v>
      </c>
      <c r="O7" s="661">
        <v>14</v>
      </c>
      <c r="P7" s="660">
        <v>12</v>
      </c>
      <c r="Q7" s="660">
        <v>15</v>
      </c>
      <c r="R7" s="1037" t="s">
        <v>127</v>
      </c>
      <c r="S7" s="1037"/>
      <c r="T7" s="5"/>
      <c r="V7" s="375" t="s">
        <v>143</v>
      </c>
      <c r="W7" s="662">
        <v>647</v>
      </c>
      <c r="X7" s="662">
        <v>668</v>
      </c>
      <c r="Y7" s="662">
        <v>348</v>
      </c>
      <c r="Z7" s="662">
        <v>342</v>
      </c>
      <c r="AA7" s="662" t="s">
        <v>140</v>
      </c>
      <c r="AB7" s="662">
        <v>250</v>
      </c>
      <c r="AC7" s="81"/>
    </row>
    <row r="8" spans="1:29" ht="15" customHeight="1">
      <c r="B8" s="656" t="s">
        <v>144</v>
      </c>
      <c r="D8" s="658" t="s">
        <v>145</v>
      </c>
      <c r="F8"/>
      <c r="H8" s="812"/>
      <c r="I8" s="659" t="s">
        <v>232</v>
      </c>
      <c r="J8" s="659" t="s">
        <v>944</v>
      </c>
      <c r="K8" s="659" t="s">
        <v>147</v>
      </c>
      <c r="L8" s="659" t="s">
        <v>126</v>
      </c>
      <c r="M8" s="659" t="str">
        <f t="shared" si="0"/>
        <v>Air Cooled Split ≥5.4 to &lt;11.25 tons Electric Resistance (or None)</v>
      </c>
      <c r="N8" s="661">
        <v>11.2</v>
      </c>
      <c r="O8" s="661">
        <v>12.8</v>
      </c>
      <c r="P8" s="660">
        <v>12.2</v>
      </c>
      <c r="Q8" s="660">
        <v>14</v>
      </c>
      <c r="R8" s="1037" t="s">
        <v>127</v>
      </c>
      <c r="S8" s="1037"/>
      <c r="T8" s="5"/>
      <c r="V8" s="375" t="s">
        <v>148</v>
      </c>
      <c r="W8" s="662">
        <v>719</v>
      </c>
      <c r="X8" s="662">
        <v>742</v>
      </c>
      <c r="Y8" s="662">
        <v>337</v>
      </c>
      <c r="Z8" s="662">
        <v>331</v>
      </c>
      <c r="AA8" s="662" t="s">
        <v>149</v>
      </c>
      <c r="AB8" s="662">
        <v>1520</v>
      </c>
      <c r="AC8" s="81"/>
    </row>
    <row r="9" spans="1:29" ht="15" customHeight="1">
      <c r="B9" s="658" t="s">
        <v>150</v>
      </c>
      <c r="F9"/>
      <c r="H9" s="812"/>
      <c r="I9" s="659" t="s">
        <v>232</v>
      </c>
      <c r="J9" s="659" t="s">
        <v>944</v>
      </c>
      <c r="K9" s="659" t="s">
        <v>147</v>
      </c>
      <c r="L9" s="659" t="s">
        <v>133</v>
      </c>
      <c r="M9" s="659" t="str">
        <f t="shared" si="0"/>
        <v>Air Cooled Split ≥5.4 to &lt;11.25 tons Other</v>
      </c>
      <c r="N9" s="661">
        <v>11</v>
      </c>
      <c r="O9" s="661">
        <v>12.6</v>
      </c>
      <c r="P9" s="660">
        <v>12</v>
      </c>
      <c r="Q9" s="660">
        <v>13.8</v>
      </c>
      <c r="R9" s="1037" t="s">
        <v>127</v>
      </c>
      <c r="S9" s="1037"/>
      <c r="T9" s="5"/>
      <c r="V9" s="375" t="s">
        <v>151</v>
      </c>
      <c r="W9" s="662">
        <v>530</v>
      </c>
      <c r="X9" s="662">
        <v>546</v>
      </c>
      <c r="Y9" s="662">
        <v>787</v>
      </c>
      <c r="Z9" s="662">
        <v>774</v>
      </c>
      <c r="AA9" s="662" t="s">
        <v>152</v>
      </c>
      <c r="AB9" s="662">
        <v>1000</v>
      </c>
      <c r="AC9" s="81"/>
    </row>
    <row r="10" spans="1:29" ht="15" customHeight="1">
      <c r="B10" s="658" t="s">
        <v>153</v>
      </c>
      <c r="D10" s="656" t="s">
        <v>154</v>
      </c>
      <c r="F10"/>
      <c r="H10" s="812"/>
      <c r="I10" s="659" t="s">
        <v>232</v>
      </c>
      <c r="J10" s="659" t="s">
        <v>946</v>
      </c>
      <c r="K10" s="659" t="s">
        <v>147</v>
      </c>
      <c r="L10" s="659" t="s">
        <v>126</v>
      </c>
      <c r="M10" s="659" t="str">
        <f t="shared" si="0"/>
        <v>Air Cooled Packaged ≥5.4 to &lt;11.25 tons Electric Resistance (or None)</v>
      </c>
      <c r="N10" s="661">
        <v>11.2</v>
      </c>
      <c r="O10" s="661">
        <v>12.8</v>
      </c>
      <c r="P10" s="660">
        <v>12.2</v>
      </c>
      <c r="Q10" s="660">
        <v>14</v>
      </c>
      <c r="R10" s="1037" t="s">
        <v>127</v>
      </c>
      <c r="S10" s="1037"/>
      <c r="T10" s="5"/>
      <c r="V10" s="375" t="s">
        <v>156</v>
      </c>
      <c r="W10" s="662">
        <v>984</v>
      </c>
      <c r="X10" s="663">
        <v>1015</v>
      </c>
      <c r="Y10" s="662">
        <v>672</v>
      </c>
      <c r="Z10" s="662">
        <v>662</v>
      </c>
      <c r="AA10" s="662" t="s">
        <v>156</v>
      </c>
      <c r="AB10" s="662">
        <v>172</v>
      </c>
      <c r="AC10" s="81"/>
    </row>
    <row r="11" spans="1:29" ht="15" customHeight="1">
      <c r="D11" s="658" t="s">
        <v>121</v>
      </c>
      <c r="F11"/>
      <c r="H11" s="812"/>
      <c r="I11" s="659" t="s">
        <v>232</v>
      </c>
      <c r="J11" s="659" t="s">
        <v>946</v>
      </c>
      <c r="K11" s="659" t="s">
        <v>147</v>
      </c>
      <c r="L11" s="659" t="s">
        <v>133</v>
      </c>
      <c r="M11" s="659" t="str">
        <f t="shared" si="0"/>
        <v>Air Cooled Packaged ≥5.4 to &lt;11.25 tons Other</v>
      </c>
      <c r="N11" s="661">
        <v>11</v>
      </c>
      <c r="O11" s="661">
        <v>12.6</v>
      </c>
      <c r="P11" s="660">
        <v>12</v>
      </c>
      <c r="Q11" s="660">
        <v>13.8</v>
      </c>
      <c r="R11" s="1037" t="s">
        <v>127</v>
      </c>
      <c r="S11" s="1037"/>
      <c r="T11" s="5"/>
      <c r="V11" s="375" t="s">
        <v>157</v>
      </c>
      <c r="W11" s="662">
        <v>214</v>
      </c>
      <c r="X11" s="662">
        <v>221</v>
      </c>
      <c r="Y11" s="663">
        <v>1213</v>
      </c>
      <c r="Z11" s="663">
        <v>1194</v>
      </c>
      <c r="AA11" s="662" t="s">
        <v>158</v>
      </c>
      <c r="AB11" s="663">
        <v>16938</v>
      </c>
      <c r="AC11" s="81"/>
    </row>
    <row r="12" spans="1:29" ht="15" customHeight="1">
      <c r="B12" s="656" t="s">
        <v>159</v>
      </c>
      <c r="D12" s="658" t="s">
        <v>130</v>
      </c>
      <c r="F12"/>
      <c r="H12" s="812"/>
      <c r="I12" s="659" t="s">
        <v>232</v>
      </c>
      <c r="J12" s="659" t="s">
        <v>944</v>
      </c>
      <c r="K12" s="659" t="s">
        <v>160</v>
      </c>
      <c r="L12" s="659" t="s">
        <v>126</v>
      </c>
      <c r="M12" s="659" t="str">
        <f t="shared" si="0"/>
        <v>Air Cooled Split ≥11.25 to &lt;20 tons Electric Resistance (or None)</v>
      </c>
      <c r="N12" s="661">
        <v>11</v>
      </c>
      <c r="O12" s="661">
        <v>12.4</v>
      </c>
      <c r="P12" s="660">
        <v>12.2</v>
      </c>
      <c r="Q12" s="660">
        <v>13.2</v>
      </c>
      <c r="R12" s="1037" t="s">
        <v>127</v>
      </c>
      <c r="S12" s="1037"/>
      <c r="T12" s="5"/>
      <c r="V12" s="375" t="s">
        <v>161</v>
      </c>
      <c r="W12" s="662">
        <v>932</v>
      </c>
      <c r="X12" s="662">
        <v>962</v>
      </c>
      <c r="Y12" s="662">
        <v>645</v>
      </c>
      <c r="Z12" s="662">
        <v>634</v>
      </c>
      <c r="AA12" s="662" t="s">
        <v>162</v>
      </c>
      <c r="AB12" s="662">
        <v>8600</v>
      </c>
      <c r="AC12" s="81"/>
    </row>
    <row r="13" spans="1:29" ht="15" customHeight="1">
      <c r="B13" s="658" t="s">
        <v>163</v>
      </c>
      <c r="D13" s="658" t="s">
        <v>164</v>
      </c>
      <c r="F13"/>
      <c r="H13" s="812"/>
      <c r="I13" s="659" t="s">
        <v>232</v>
      </c>
      <c r="J13" s="659" t="s">
        <v>944</v>
      </c>
      <c r="K13" s="659" t="s">
        <v>160</v>
      </c>
      <c r="L13" s="659" t="s">
        <v>133</v>
      </c>
      <c r="M13" s="659" t="str">
        <f t="shared" si="0"/>
        <v>Air Cooled Split ≥11.25 to &lt;20 tons Other</v>
      </c>
      <c r="N13" s="661">
        <v>10.8</v>
      </c>
      <c r="O13" s="661">
        <v>12.2</v>
      </c>
      <c r="P13" s="660">
        <v>12</v>
      </c>
      <c r="Q13" s="660">
        <v>13</v>
      </c>
      <c r="R13" s="1037" t="s">
        <v>127</v>
      </c>
      <c r="S13" s="1037"/>
      <c r="T13" s="5"/>
      <c r="V13" s="375" t="s">
        <v>165</v>
      </c>
      <c r="W13" s="663">
        <v>2242</v>
      </c>
      <c r="X13" s="663">
        <v>2313</v>
      </c>
      <c r="Y13" s="663">
        <v>1816</v>
      </c>
      <c r="Z13" s="663">
        <v>1787</v>
      </c>
      <c r="AA13" s="662" t="s">
        <v>166</v>
      </c>
      <c r="AB13" s="663">
        <v>9104</v>
      </c>
      <c r="AC13" s="81"/>
    </row>
    <row r="14" spans="1:29" ht="15" customHeight="1">
      <c r="B14" s="658" t="s">
        <v>167</v>
      </c>
      <c r="F14"/>
      <c r="H14" s="812"/>
      <c r="I14" s="659" t="s">
        <v>232</v>
      </c>
      <c r="J14" s="659" t="s">
        <v>946</v>
      </c>
      <c r="K14" s="659" t="s">
        <v>160</v>
      </c>
      <c r="L14" s="659" t="s">
        <v>126</v>
      </c>
      <c r="M14" s="659" t="str">
        <f t="shared" si="0"/>
        <v>Air Cooled Packaged ≥11.25 to &lt;20 tons Electric Resistance (or None)</v>
      </c>
      <c r="N14" s="661">
        <v>11</v>
      </c>
      <c r="O14" s="661">
        <v>12.4</v>
      </c>
      <c r="P14" s="660">
        <v>12.2</v>
      </c>
      <c r="Q14" s="660">
        <v>13.2</v>
      </c>
      <c r="R14" s="1037" t="s">
        <v>127</v>
      </c>
      <c r="S14" s="1037"/>
      <c r="T14" s="5"/>
      <c r="V14" s="375" t="s">
        <v>168</v>
      </c>
      <c r="W14" s="662">
        <v>146</v>
      </c>
      <c r="X14" s="662">
        <v>151</v>
      </c>
      <c r="Y14" s="662">
        <v>867</v>
      </c>
      <c r="Z14" s="662">
        <v>853</v>
      </c>
      <c r="AA14" s="662" t="s">
        <v>169</v>
      </c>
      <c r="AB14" s="662">
        <v>489</v>
      </c>
      <c r="AC14" s="81"/>
    </row>
    <row r="15" spans="1:29" ht="15" customHeight="1">
      <c r="D15" s="656" t="s">
        <v>170</v>
      </c>
      <c r="F15"/>
      <c r="H15" s="812"/>
      <c r="I15" s="659" t="s">
        <v>232</v>
      </c>
      <c r="J15" s="659" t="s">
        <v>946</v>
      </c>
      <c r="K15" s="659" t="s">
        <v>160</v>
      </c>
      <c r="L15" s="659" t="s">
        <v>133</v>
      </c>
      <c r="M15" s="659" t="str">
        <f t="shared" si="0"/>
        <v>Air Cooled Packaged ≥11.25 to &lt;20 tons Other</v>
      </c>
      <c r="N15" s="661">
        <v>10.8</v>
      </c>
      <c r="O15" s="661">
        <v>12.2</v>
      </c>
      <c r="P15" s="660">
        <v>12</v>
      </c>
      <c r="Q15" s="660">
        <v>13</v>
      </c>
      <c r="R15" s="1037" t="s">
        <v>127</v>
      </c>
      <c r="S15" s="1037"/>
      <c r="T15" s="5"/>
      <c r="V15" s="375" t="s">
        <v>171</v>
      </c>
      <c r="W15" s="662">
        <v>585</v>
      </c>
      <c r="X15" s="662">
        <v>603</v>
      </c>
      <c r="Y15" s="662">
        <v>456</v>
      </c>
      <c r="Z15" s="662">
        <v>449</v>
      </c>
      <c r="AA15" s="662" t="s">
        <v>169</v>
      </c>
      <c r="AB15" s="662">
        <v>489</v>
      </c>
      <c r="AC15" s="81"/>
    </row>
    <row r="16" spans="1:29" ht="15" customHeight="1">
      <c r="B16" s="656" t="s">
        <v>172</v>
      </c>
      <c r="D16" s="658" t="s">
        <v>173</v>
      </c>
      <c r="F16"/>
      <c r="H16" s="812"/>
      <c r="I16" s="659" t="s">
        <v>232</v>
      </c>
      <c r="J16" s="659" t="s">
        <v>944</v>
      </c>
      <c r="K16" s="659" t="s">
        <v>184</v>
      </c>
      <c r="L16" s="659" t="s">
        <v>126</v>
      </c>
      <c r="M16" s="659" t="str">
        <f t="shared" si="0"/>
        <v>Air Cooled Split ≥20 to &lt;63.3 tons Electric Resistance (or None)</v>
      </c>
      <c r="N16" s="661">
        <v>10</v>
      </c>
      <c r="O16" s="661">
        <v>11.6</v>
      </c>
      <c r="P16" s="660">
        <v>10.5</v>
      </c>
      <c r="Q16" s="660">
        <v>12.3</v>
      </c>
      <c r="R16" s="1037" t="s">
        <v>127</v>
      </c>
      <c r="S16" s="1037"/>
      <c r="T16" s="5"/>
      <c r="U16" s="136"/>
      <c r="V16" s="375" t="s">
        <v>175</v>
      </c>
      <c r="W16" s="662">
        <v>256</v>
      </c>
      <c r="X16" s="662">
        <v>264</v>
      </c>
      <c r="Y16" s="663">
        <v>1509</v>
      </c>
      <c r="Z16" s="663">
        <v>1485</v>
      </c>
      <c r="AA16" s="662" t="s">
        <v>176</v>
      </c>
      <c r="AB16" s="663">
        <v>552</v>
      </c>
      <c r="AC16" s="81"/>
    </row>
    <row r="17" spans="2:29" ht="15" customHeight="1">
      <c r="B17" s="658" t="s">
        <v>177</v>
      </c>
      <c r="D17" s="658" t="s">
        <v>178</v>
      </c>
      <c r="F17"/>
      <c r="H17" s="812"/>
      <c r="I17" s="659" t="s">
        <v>232</v>
      </c>
      <c r="J17" s="659" t="s">
        <v>944</v>
      </c>
      <c r="K17" s="659" t="s">
        <v>184</v>
      </c>
      <c r="L17" s="659" t="s">
        <v>133</v>
      </c>
      <c r="M17" s="659" t="str">
        <f t="shared" si="0"/>
        <v>Air Cooled Split ≥20 to &lt;63.3 tons Other</v>
      </c>
      <c r="N17" s="661">
        <v>9.8000000000000007</v>
      </c>
      <c r="O17" s="661">
        <v>11.4</v>
      </c>
      <c r="P17" s="660">
        <v>10.3</v>
      </c>
      <c r="Q17" s="660">
        <v>12.1</v>
      </c>
      <c r="R17" s="1037" t="s">
        <v>127</v>
      </c>
      <c r="S17" s="1037"/>
      <c r="T17" s="5"/>
      <c r="V17" s="375" t="s">
        <v>180</v>
      </c>
      <c r="W17" s="662">
        <v>221</v>
      </c>
      <c r="X17" s="662">
        <v>228</v>
      </c>
      <c r="Y17" s="662">
        <v>727</v>
      </c>
      <c r="Z17" s="662">
        <v>716</v>
      </c>
      <c r="AA17" s="662" t="s">
        <v>181</v>
      </c>
      <c r="AB17" s="662">
        <v>550</v>
      </c>
      <c r="AC17" s="81"/>
    </row>
    <row r="18" spans="2:29" ht="15" customHeight="1">
      <c r="B18" s="658" t="s">
        <v>182</v>
      </c>
      <c r="D18" s="658" t="s">
        <v>183</v>
      </c>
      <c r="F18"/>
      <c r="H18" s="812"/>
      <c r="I18" s="659" t="s">
        <v>232</v>
      </c>
      <c r="J18" s="659" t="s">
        <v>946</v>
      </c>
      <c r="K18" s="659" t="s">
        <v>184</v>
      </c>
      <c r="L18" s="659" t="s">
        <v>126</v>
      </c>
      <c r="M18" s="659" t="str">
        <f t="shared" si="0"/>
        <v>Air Cooled Packaged ≥20 to &lt;63.3 tons Electric Resistance (or None)</v>
      </c>
      <c r="N18" s="661">
        <v>10</v>
      </c>
      <c r="O18" s="661">
        <v>11.6</v>
      </c>
      <c r="P18" s="660">
        <v>10.5</v>
      </c>
      <c r="Q18" s="660">
        <v>12.3</v>
      </c>
      <c r="R18" s="1037" t="s">
        <v>127</v>
      </c>
      <c r="S18" s="1037"/>
      <c r="T18" s="5"/>
      <c r="V18" s="375" t="s">
        <v>185</v>
      </c>
      <c r="W18" s="662">
        <v>440</v>
      </c>
      <c r="X18" s="662">
        <v>454</v>
      </c>
      <c r="Y18" s="662">
        <v>629</v>
      </c>
      <c r="Z18" s="662">
        <v>619</v>
      </c>
      <c r="AA18" s="662" t="s">
        <v>186</v>
      </c>
      <c r="AB18" s="662">
        <v>110</v>
      </c>
      <c r="AC18" s="81"/>
    </row>
    <row r="19" spans="2:29" ht="15" customHeight="1">
      <c r="D19" s="658" t="s">
        <v>187</v>
      </c>
      <c r="F19"/>
      <c r="H19" s="812"/>
      <c r="I19" s="659" t="s">
        <v>232</v>
      </c>
      <c r="J19" s="659" t="s">
        <v>946</v>
      </c>
      <c r="K19" s="659" t="s">
        <v>184</v>
      </c>
      <c r="L19" s="659" t="s">
        <v>133</v>
      </c>
      <c r="M19" s="659" t="str">
        <f t="shared" si="0"/>
        <v>Air Cooled Packaged ≥20 to &lt;63.3 tons Other</v>
      </c>
      <c r="N19" s="661">
        <v>9.8000000000000007</v>
      </c>
      <c r="O19" s="661">
        <v>11.4</v>
      </c>
      <c r="P19" s="660">
        <v>10.3</v>
      </c>
      <c r="Q19" s="660">
        <v>12.1</v>
      </c>
      <c r="R19" s="1037" t="s">
        <v>127</v>
      </c>
      <c r="S19" s="1037"/>
      <c r="T19" s="5"/>
      <c r="V19" s="375" t="s">
        <v>188</v>
      </c>
      <c r="W19" s="663">
        <v>1226</v>
      </c>
      <c r="X19" s="663">
        <v>1265</v>
      </c>
      <c r="Y19" s="662">
        <v>724</v>
      </c>
      <c r="Z19" s="662">
        <v>712</v>
      </c>
      <c r="AA19" s="662" t="s">
        <v>189</v>
      </c>
      <c r="AB19" s="662">
        <v>500</v>
      </c>
      <c r="AC19" s="81"/>
    </row>
    <row r="20" spans="2:29" ht="15" customHeight="1">
      <c r="B20" s="656" t="s">
        <v>190</v>
      </c>
      <c r="D20" s="658" t="s">
        <v>191</v>
      </c>
      <c r="F20"/>
      <c r="H20" s="812"/>
      <c r="I20" s="659" t="s">
        <v>232</v>
      </c>
      <c r="J20" s="659" t="s">
        <v>944</v>
      </c>
      <c r="K20" s="659" t="s">
        <v>192</v>
      </c>
      <c r="L20" s="659" t="s">
        <v>126</v>
      </c>
      <c r="M20" s="659" t="str">
        <f t="shared" si="0"/>
        <v>Air Cooled Split ≥63.3 tons Electric Resistance (or None)</v>
      </c>
      <c r="N20" s="661">
        <v>9.6999999999999993</v>
      </c>
      <c r="O20" s="661">
        <v>11.2</v>
      </c>
      <c r="P20" s="660">
        <v>9.9</v>
      </c>
      <c r="Q20" s="660">
        <v>11.6</v>
      </c>
      <c r="R20" s="1037" t="s">
        <v>127</v>
      </c>
      <c r="S20" s="1037"/>
      <c r="T20" s="5"/>
      <c r="V20" s="375" t="s">
        <v>193</v>
      </c>
      <c r="W20" s="663">
        <v>1131</v>
      </c>
      <c r="X20" s="663">
        <v>1167</v>
      </c>
      <c r="Y20" s="662">
        <v>762</v>
      </c>
      <c r="Z20" s="662">
        <v>750</v>
      </c>
      <c r="AA20" s="662" t="s">
        <v>194</v>
      </c>
      <c r="AB20" s="662">
        <v>2500</v>
      </c>
      <c r="AC20" s="81"/>
    </row>
    <row r="21" spans="2:29" ht="15" customHeight="1">
      <c r="B21" s="658" t="s">
        <v>177</v>
      </c>
      <c r="D21" s="658" t="s">
        <v>195</v>
      </c>
      <c r="F21"/>
      <c r="H21" s="812"/>
      <c r="I21" s="659" t="s">
        <v>232</v>
      </c>
      <c r="J21" s="659" t="s">
        <v>944</v>
      </c>
      <c r="K21" s="659" t="s">
        <v>192</v>
      </c>
      <c r="L21" s="659" t="s">
        <v>133</v>
      </c>
      <c r="M21" s="659" t="str">
        <f t="shared" si="0"/>
        <v>Air Cooled Split ≥63.3 tons Other</v>
      </c>
      <c r="N21" s="661">
        <v>9.5</v>
      </c>
      <c r="O21" s="661">
        <v>11</v>
      </c>
      <c r="P21" s="660">
        <v>9.6999999999999993</v>
      </c>
      <c r="Q21" s="660">
        <v>11.4</v>
      </c>
      <c r="R21" s="1037" t="s">
        <v>127</v>
      </c>
      <c r="S21" s="1037"/>
      <c r="T21" s="5"/>
      <c r="V21" s="375" t="s">
        <v>196</v>
      </c>
      <c r="W21" s="662">
        <v>591</v>
      </c>
      <c r="X21" s="662">
        <v>609</v>
      </c>
      <c r="Y21" s="662">
        <v>880</v>
      </c>
      <c r="Z21" s="662">
        <v>866</v>
      </c>
      <c r="AA21" s="662" t="s">
        <v>197</v>
      </c>
      <c r="AB21" s="662">
        <v>446</v>
      </c>
      <c r="AC21" s="81"/>
    </row>
    <row r="22" spans="2:29" ht="15" customHeight="1">
      <c r="B22" s="658" t="s">
        <v>182</v>
      </c>
      <c r="F22"/>
      <c r="H22" s="812"/>
      <c r="I22" s="659" t="s">
        <v>232</v>
      </c>
      <c r="J22" s="659" t="s">
        <v>946</v>
      </c>
      <c r="K22" s="659" t="s">
        <v>192</v>
      </c>
      <c r="L22" s="659" t="s">
        <v>126</v>
      </c>
      <c r="M22" s="659" t="str">
        <f t="shared" si="0"/>
        <v>Air Cooled Packaged ≥63.3 tons Electric Resistance (or None)</v>
      </c>
      <c r="N22" s="661">
        <v>9.6999999999999993</v>
      </c>
      <c r="O22" s="661">
        <v>11.2</v>
      </c>
      <c r="P22" s="660">
        <v>9.9</v>
      </c>
      <c r="Q22" s="660">
        <v>11.6</v>
      </c>
      <c r="R22" s="1037" t="s">
        <v>127</v>
      </c>
      <c r="S22" s="1037"/>
      <c r="T22" s="5"/>
      <c r="V22" s="375" t="s">
        <v>198</v>
      </c>
      <c r="W22" s="662">
        <v>739</v>
      </c>
      <c r="X22" s="662">
        <v>762</v>
      </c>
      <c r="Y22" s="662">
        <v>904</v>
      </c>
      <c r="Z22" s="662">
        <v>890</v>
      </c>
      <c r="AA22" s="662" t="s">
        <v>197</v>
      </c>
      <c r="AB22" s="662">
        <v>446</v>
      </c>
      <c r="AC22" s="81"/>
    </row>
    <row r="23" spans="2:29" ht="15" customHeight="1">
      <c r="D23" s="656" t="s">
        <v>199</v>
      </c>
      <c r="F23"/>
      <c r="H23" s="812"/>
      <c r="I23" s="659" t="s">
        <v>232</v>
      </c>
      <c r="J23" s="659" t="s">
        <v>946</v>
      </c>
      <c r="K23" s="659" t="s">
        <v>192</v>
      </c>
      <c r="L23" s="659" t="s">
        <v>133</v>
      </c>
      <c r="M23" s="659" t="str">
        <f t="shared" si="0"/>
        <v>Air Cooled Packaged ≥63.3 tons Other</v>
      </c>
      <c r="N23" s="661">
        <v>9.5</v>
      </c>
      <c r="O23" s="661">
        <v>11</v>
      </c>
      <c r="P23" s="660">
        <v>9.6999999999999993</v>
      </c>
      <c r="Q23" s="660">
        <v>11.4</v>
      </c>
      <c r="R23" s="1037" t="s">
        <v>127</v>
      </c>
      <c r="S23" s="1037"/>
      <c r="T23" s="5"/>
      <c r="V23" s="375" t="s">
        <v>200</v>
      </c>
      <c r="W23" s="662">
        <v>622</v>
      </c>
      <c r="X23" s="662">
        <v>642</v>
      </c>
      <c r="Y23" s="662">
        <v>915</v>
      </c>
      <c r="Z23" s="662">
        <v>901</v>
      </c>
      <c r="AA23" s="662" t="s">
        <v>201</v>
      </c>
      <c r="AB23" s="662">
        <v>27</v>
      </c>
      <c r="AC23" s="81"/>
    </row>
    <row r="24" spans="2:29" ht="15" customHeight="1">
      <c r="B24" s="656" t="s">
        <v>202</v>
      </c>
      <c r="D24" s="658" t="s">
        <v>203</v>
      </c>
      <c r="F24"/>
      <c r="H24" s="812"/>
      <c r="I24" s="659" t="s">
        <v>235</v>
      </c>
      <c r="J24" s="659" t="s">
        <v>944</v>
      </c>
      <c r="K24" s="659" t="s">
        <v>204</v>
      </c>
      <c r="L24" s="659" t="s">
        <v>126</v>
      </c>
      <c r="M24" s="659" t="str">
        <f t="shared" si="0"/>
        <v>Water Cooled Split &lt;5.4 tons Electric Resistance (or None)</v>
      </c>
      <c r="N24" s="660">
        <v>12.1</v>
      </c>
      <c r="O24" s="661">
        <v>12.3</v>
      </c>
      <c r="P24" s="660">
        <v>14</v>
      </c>
      <c r="Q24" s="660">
        <v>0</v>
      </c>
      <c r="R24" s="1037" t="s">
        <v>127</v>
      </c>
      <c r="S24" s="1037"/>
      <c r="T24" s="5"/>
      <c r="V24" s="375" t="s">
        <v>205</v>
      </c>
      <c r="W24" s="662">
        <v>854</v>
      </c>
      <c r="X24" s="662">
        <v>881</v>
      </c>
      <c r="Y24" s="662">
        <v>243</v>
      </c>
      <c r="Z24" s="662">
        <v>239</v>
      </c>
      <c r="AA24" s="662" t="s">
        <v>206</v>
      </c>
      <c r="AB24" s="662">
        <v>465</v>
      </c>
      <c r="AC24" s="81"/>
    </row>
    <row r="25" spans="2:29" ht="15" customHeight="1">
      <c r="B25" s="658" t="s">
        <v>207</v>
      </c>
      <c r="D25" s="658" t="s">
        <v>208</v>
      </c>
      <c r="F25"/>
      <c r="H25" s="812"/>
      <c r="I25" s="659" t="s">
        <v>235</v>
      </c>
      <c r="J25" s="659" t="s">
        <v>944</v>
      </c>
      <c r="K25" s="659" t="s">
        <v>204</v>
      </c>
      <c r="L25" s="659" t="s">
        <v>133</v>
      </c>
      <c r="M25" s="659" t="str">
        <f t="shared" si="0"/>
        <v>Water Cooled Split &lt;5.4 tons Other</v>
      </c>
      <c r="N25" s="660">
        <v>11.9</v>
      </c>
      <c r="O25" s="661">
        <v>12.1</v>
      </c>
      <c r="P25" s="660">
        <v>14</v>
      </c>
      <c r="Q25" s="660">
        <v>0</v>
      </c>
      <c r="R25" s="1037" t="s">
        <v>127</v>
      </c>
      <c r="S25" s="1037"/>
      <c r="T25" s="5"/>
      <c r="V25" s="375" t="s">
        <v>209</v>
      </c>
      <c r="W25" s="662">
        <v>342</v>
      </c>
      <c r="X25" s="662">
        <v>353</v>
      </c>
      <c r="Y25" s="663">
        <v>3886</v>
      </c>
      <c r="Z25" s="663">
        <v>3824</v>
      </c>
      <c r="AA25" s="662" t="s">
        <v>206</v>
      </c>
      <c r="AB25" s="663">
        <v>465</v>
      </c>
      <c r="AC25" s="81"/>
    </row>
    <row r="26" spans="2:29" ht="15" customHeight="1">
      <c r="B26" s="658" t="s">
        <v>133</v>
      </c>
      <c r="F26"/>
      <c r="H26" s="812"/>
      <c r="I26" s="659" t="s">
        <v>235</v>
      </c>
      <c r="J26" s="659" t="s">
        <v>946</v>
      </c>
      <c r="K26" s="659" t="s">
        <v>204</v>
      </c>
      <c r="L26" s="659" t="s">
        <v>126</v>
      </c>
      <c r="M26" s="659" t="str">
        <f t="shared" si="0"/>
        <v>Water Cooled Packaged &lt;5.4 tons Electric Resistance (or None)</v>
      </c>
      <c r="N26" s="660">
        <v>12.1</v>
      </c>
      <c r="O26" s="661">
        <v>12.3</v>
      </c>
      <c r="P26" s="660">
        <v>14</v>
      </c>
      <c r="Q26" s="660">
        <v>0</v>
      </c>
      <c r="R26" s="1037" t="s">
        <v>127</v>
      </c>
      <c r="S26" s="1037"/>
      <c r="T26" s="5"/>
      <c r="V26" s="100" t="s">
        <v>210</v>
      </c>
      <c r="W26" s="81"/>
      <c r="X26" s="81"/>
      <c r="Y26" s="81"/>
      <c r="Z26" s="81"/>
      <c r="AA26" s="81"/>
      <c r="AB26" s="81"/>
      <c r="AC26" s="81"/>
    </row>
    <row r="27" spans="2:29" ht="15" customHeight="1">
      <c r="D27" s="656" t="s">
        <v>211</v>
      </c>
      <c r="F27"/>
      <c r="H27" s="812"/>
      <c r="I27" s="659" t="s">
        <v>235</v>
      </c>
      <c r="J27" s="659" t="s">
        <v>946</v>
      </c>
      <c r="K27" s="659" t="s">
        <v>204</v>
      </c>
      <c r="L27" s="659" t="s">
        <v>133</v>
      </c>
      <c r="M27" s="659" t="str">
        <f t="shared" si="0"/>
        <v>Water Cooled Packaged &lt;5.4 tons Other</v>
      </c>
      <c r="N27" s="660">
        <v>11.9</v>
      </c>
      <c r="O27" s="661">
        <v>12.1</v>
      </c>
      <c r="P27" s="660">
        <v>14</v>
      </c>
      <c r="Q27" s="660">
        <v>0</v>
      </c>
      <c r="R27" s="1037" t="s">
        <v>127</v>
      </c>
      <c r="S27" s="1037"/>
      <c r="T27" s="5"/>
      <c r="V27" s="101" t="s">
        <v>212</v>
      </c>
      <c r="W27" s="81"/>
      <c r="X27" s="81"/>
      <c r="Y27" s="81"/>
      <c r="Z27" s="81"/>
      <c r="AA27" s="81"/>
      <c r="AB27" s="81"/>
      <c r="AC27" s="81"/>
    </row>
    <row r="28" spans="2:29" ht="15" customHeight="1">
      <c r="B28" s="656" t="s">
        <v>213</v>
      </c>
      <c r="D28" s="658" t="s">
        <v>214</v>
      </c>
      <c r="F28"/>
      <c r="H28" s="812"/>
      <c r="I28" s="659" t="s">
        <v>235</v>
      </c>
      <c r="J28" s="659" t="s">
        <v>944</v>
      </c>
      <c r="K28" s="659" t="s">
        <v>147</v>
      </c>
      <c r="L28" s="659" t="s">
        <v>126</v>
      </c>
      <c r="M28" s="659" t="str">
        <f t="shared" si="0"/>
        <v>Water Cooled Split ≥5.4 to &lt;11.25 tons Electric Resistance (or None)</v>
      </c>
      <c r="N28" s="661">
        <v>12.1</v>
      </c>
      <c r="O28" s="661">
        <v>13.9</v>
      </c>
      <c r="P28" s="660">
        <v>14</v>
      </c>
      <c r="Q28" s="660">
        <v>15.3</v>
      </c>
      <c r="R28" s="1037" t="s">
        <v>127</v>
      </c>
      <c r="S28" s="1037"/>
      <c r="T28" s="5"/>
      <c r="V28" s="100" t="s">
        <v>215</v>
      </c>
      <c r="W28" s="81"/>
      <c r="X28" s="81"/>
      <c r="Y28" s="81"/>
      <c r="Z28" s="81"/>
      <c r="AA28" s="81"/>
      <c r="AB28" s="81"/>
      <c r="AC28" s="81"/>
    </row>
    <row r="29" spans="2:29" ht="15" customHeight="1">
      <c r="B29" s="658" t="s">
        <v>216</v>
      </c>
      <c r="D29" s="658" t="s">
        <v>217</v>
      </c>
      <c r="F29"/>
      <c r="H29" s="812"/>
      <c r="I29" s="659" t="s">
        <v>235</v>
      </c>
      <c r="J29" s="659" t="s">
        <v>944</v>
      </c>
      <c r="K29" s="659" t="s">
        <v>147</v>
      </c>
      <c r="L29" s="659" t="s">
        <v>133</v>
      </c>
      <c r="M29" s="659" t="str">
        <f t="shared" si="0"/>
        <v>Water Cooled Split ≥5.4 to &lt;11.25 tons Other</v>
      </c>
      <c r="N29" s="661">
        <v>11.9</v>
      </c>
      <c r="O29" s="661">
        <v>13.7</v>
      </c>
      <c r="P29" s="660">
        <v>13.8</v>
      </c>
      <c r="Q29" s="660">
        <v>15.1</v>
      </c>
      <c r="R29" s="1037" t="s">
        <v>127</v>
      </c>
      <c r="S29" s="1037"/>
      <c r="T29" s="5"/>
      <c r="V29" s="101" t="s">
        <v>218</v>
      </c>
      <c r="W29" s="81"/>
      <c r="X29" s="81"/>
      <c r="Y29" s="81"/>
      <c r="Z29" s="81"/>
      <c r="AA29" s="81"/>
      <c r="AB29" s="81"/>
      <c r="AC29" s="81"/>
    </row>
    <row r="30" spans="2:29" ht="15" customHeight="1">
      <c r="B30" s="658" t="s">
        <v>219</v>
      </c>
      <c r="F30"/>
      <c r="H30" s="812"/>
      <c r="I30" s="659" t="s">
        <v>235</v>
      </c>
      <c r="J30" s="659" t="s">
        <v>946</v>
      </c>
      <c r="K30" s="659" t="s">
        <v>147</v>
      </c>
      <c r="L30" s="659" t="s">
        <v>126</v>
      </c>
      <c r="M30" s="659" t="str">
        <f t="shared" si="0"/>
        <v>Water Cooled Packaged ≥5.4 to &lt;11.25 tons Electric Resistance (or None)</v>
      </c>
      <c r="N30" s="661">
        <v>12.1</v>
      </c>
      <c r="O30" s="661">
        <v>13.9</v>
      </c>
      <c r="P30" s="660">
        <v>14</v>
      </c>
      <c r="Q30" s="660">
        <v>15.3</v>
      </c>
      <c r="R30" s="1037" t="s">
        <v>127</v>
      </c>
      <c r="S30" s="1037"/>
      <c r="T30" s="5"/>
      <c r="V30" s="81"/>
      <c r="W30" s="81"/>
      <c r="X30" s="81"/>
      <c r="Y30" s="81"/>
      <c r="Z30" s="81"/>
      <c r="AA30" s="81"/>
      <c r="AB30" s="81"/>
      <c r="AC30" s="81"/>
    </row>
    <row r="31" spans="2:29" ht="15" customHeight="1">
      <c r="B31" s="658" t="s">
        <v>133</v>
      </c>
      <c r="D31" s="656" t="s">
        <v>220</v>
      </c>
      <c r="F31"/>
      <c r="H31" s="812"/>
      <c r="I31" s="659" t="s">
        <v>235</v>
      </c>
      <c r="J31" s="659" t="s">
        <v>946</v>
      </c>
      <c r="K31" s="659" t="s">
        <v>147</v>
      </c>
      <c r="L31" s="659" t="s">
        <v>133</v>
      </c>
      <c r="M31" s="659" t="str">
        <f t="shared" si="0"/>
        <v>Water Cooled Packaged ≥5.4 to &lt;11.25 tons Other</v>
      </c>
      <c r="N31" s="661">
        <v>11.9</v>
      </c>
      <c r="O31" s="661">
        <v>13.7</v>
      </c>
      <c r="P31" s="660">
        <v>13.8</v>
      </c>
      <c r="Q31" s="660">
        <v>15.1</v>
      </c>
      <c r="R31" s="1037" t="s">
        <v>127</v>
      </c>
      <c r="S31" s="1037"/>
      <c r="T31" s="5"/>
      <c r="V31" s="369" t="s">
        <v>221</v>
      </c>
      <c r="W31" s="657" t="s">
        <v>222</v>
      </c>
      <c r="X31" s="657" t="s">
        <v>223</v>
      </c>
      <c r="Y31" s="81"/>
      <c r="Z31" s="662"/>
      <c r="AA31" s="1040" t="s">
        <v>224</v>
      </c>
      <c r="AB31" s="837"/>
      <c r="AC31" s="81"/>
    </row>
    <row r="32" spans="2:29" ht="15" customHeight="1">
      <c r="D32" s="658" t="s">
        <v>214</v>
      </c>
      <c r="F32"/>
      <c r="H32" s="812"/>
      <c r="I32" s="659" t="s">
        <v>235</v>
      </c>
      <c r="J32" s="659" t="s">
        <v>944</v>
      </c>
      <c r="K32" s="659" t="s">
        <v>160</v>
      </c>
      <c r="L32" s="659" t="s">
        <v>126</v>
      </c>
      <c r="M32" s="659" t="str">
        <f t="shared" si="0"/>
        <v>Water Cooled Split ≥11.25 to &lt;20 tons Electric Resistance (or None)</v>
      </c>
      <c r="N32" s="661">
        <v>12.5</v>
      </c>
      <c r="O32" s="661">
        <v>13.9</v>
      </c>
      <c r="P32" s="660">
        <v>14</v>
      </c>
      <c r="Q32" s="660">
        <v>14.8</v>
      </c>
      <c r="R32" s="1037" t="s">
        <v>127</v>
      </c>
      <c r="S32" s="1037"/>
      <c r="T32" s="5"/>
      <c r="V32" s="1041" t="s">
        <v>225</v>
      </c>
      <c r="W32" s="839"/>
      <c r="X32" s="840"/>
      <c r="Y32" s="81"/>
      <c r="Z32" s="662" t="s">
        <v>226</v>
      </c>
      <c r="AA32" s="664">
        <v>58.4</v>
      </c>
      <c r="AB32" s="665" t="s">
        <v>227</v>
      </c>
      <c r="AC32" s="81"/>
    </row>
    <row r="33" spans="2:29" ht="15" customHeight="1">
      <c r="B33" s="656" t="s">
        <v>228</v>
      </c>
      <c r="D33" s="658" t="s">
        <v>217</v>
      </c>
      <c r="F33"/>
      <c r="H33" s="812"/>
      <c r="I33" s="659" t="s">
        <v>235</v>
      </c>
      <c r="J33" s="659" t="s">
        <v>944</v>
      </c>
      <c r="K33" s="659" t="s">
        <v>160</v>
      </c>
      <c r="L33" s="659" t="s">
        <v>133</v>
      </c>
      <c r="M33" s="659" t="str">
        <f t="shared" si="0"/>
        <v>Water Cooled Split ≥11.25 to &lt;20 tons Other</v>
      </c>
      <c r="N33" s="661">
        <v>12.3</v>
      </c>
      <c r="O33" s="661">
        <v>13.7</v>
      </c>
      <c r="P33" s="660">
        <v>13.8</v>
      </c>
      <c r="Q33" s="660">
        <v>14.6</v>
      </c>
      <c r="R33" s="1037" t="s">
        <v>127</v>
      </c>
      <c r="S33" s="1037"/>
      <c r="T33" s="5"/>
      <c r="V33" s="379" t="s">
        <v>229</v>
      </c>
      <c r="W33" s="666">
        <v>0.8</v>
      </c>
      <c r="X33" s="666" t="s">
        <v>230</v>
      </c>
      <c r="Y33" s="81"/>
      <c r="Z33" s="662" t="s">
        <v>231</v>
      </c>
      <c r="AA33" s="664">
        <v>54.3</v>
      </c>
      <c r="AB33" s="665" t="s">
        <v>227</v>
      </c>
      <c r="AC33" s="81"/>
    </row>
    <row r="34" spans="2:29" ht="15" customHeight="1">
      <c r="B34" s="658" t="s">
        <v>232</v>
      </c>
      <c r="D34"/>
      <c r="F34"/>
      <c r="H34" s="812"/>
      <c r="I34" s="659" t="s">
        <v>235</v>
      </c>
      <c r="J34" s="659" t="s">
        <v>946</v>
      </c>
      <c r="K34" s="659" t="s">
        <v>160</v>
      </c>
      <c r="L34" s="659" t="s">
        <v>126</v>
      </c>
      <c r="M34" s="659" t="str">
        <f t="shared" si="0"/>
        <v>Water Cooled Packaged ≥11.25 to &lt;20 tons Electric Resistance (or None)</v>
      </c>
      <c r="N34" s="661">
        <v>12.5</v>
      </c>
      <c r="O34" s="661">
        <v>13.9</v>
      </c>
      <c r="P34" s="660">
        <v>14</v>
      </c>
      <c r="Q34" s="660">
        <v>14.8</v>
      </c>
      <c r="R34" s="1037" t="s">
        <v>127</v>
      </c>
      <c r="S34" s="1037"/>
      <c r="T34" s="5"/>
      <c r="V34" s="379" t="s">
        <v>233</v>
      </c>
      <c r="W34" s="666">
        <v>0.82</v>
      </c>
      <c r="X34" s="666" t="s">
        <v>230</v>
      </c>
      <c r="Y34" s="81"/>
      <c r="Z34" s="101" t="s">
        <v>234</v>
      </c>
      <c r="AA34" s="81"/>
      <c r="AB34" s="81"/>
      <c r="AC34" s="81"/>
    </row>
    <row r="35" spans="2:29" ht="15" customHeight="1">
      <c r="B35" s="658" t="s">
        <v>235</v>
      </c>
      <c r="D35" s="656" t="s">
        <v>236</v>
      </c>
      <c r="F35"/>
      <c r="H35" s="812"/>
      <c r="I35" s="659" t="s">
        <v>235</v>
      </c>
      <c r="J35" s="659" t="s">
        <v>946</v>
      </c>
      <c r="K35" s="659" t="s">
        <v>160</v>
      </c>
      <c r="L35" s="659" t="s">
        <v>133</v>
      </c>
      <c r="M35" s="659" t="str">
        <f t="shared" si="0"/>
        <v>Water Cooled Packaged ≥11.25 to &lt;20 tons Other</v>
      </c>
      <c r="N35" s="661">
        <v>12.3</v>
      </c>
      <c r="O35" s="661">
        <v>13.7</v>
      </c>
      <c r="P35" s="660">
        <v>13.8</v>
      </c>
      <c r="Q35" s="660">
        <v>14.6</v>
      </c>
      <c r="R35" s="1037" t="s">
        <v>127</v>
      </c>
      <c r="S35" s="1037"/>
      <c r="T35" s="5"/>
      <c r="V35" s="1042" t="s">
        <v>237</v>
      </c>
      <c r="W35" s="832"/>
      <c r="X35" s="833"/>
      <c r="Y35" s="81"/>
      <c r="Z35" s="81"/>
      <c r="AA35" s="81"/>
      <c r="AB35" s="81"/>
      <c r="AC35" s="81"/>
    </row>
    <row r="36" spans="2:29" ht="15" customHeight="1">
      <c r="B36" s="658" t="s">
        <v>238</v>
      </c>
      <c r="D36" s="658" t="s">
        <v>239</v>
      </c>
      <c r="F36"/>
      <c r="H36" s="812"/>
      <c r="I36" s="659" t="s">
        <v>235</v>
      </c>
      <c r="J36" s="659" t="s">
        <v>944</v>
      </c>
      <c r="K36" s="659" t="s">
        <v>184</v>
      </c>
      <c r="L36" s="659" t="s">
        <v>126</v>
      </c>
      <c r="M36" s="659" t="str">
        <f t="shared" si="0"/>
        <v>Water Cooled Split ≥20 to &lt;63.3 tons Electric Resistance (or None)</v>
      </c>
      <c r="N36" s="661">
        <v>12.4</v>
      </c>
      <c r="O36" s="661">
        <v>13.6</v>
      </c>
      <c r="P36" s="660">
        <v>14</v>
      </c>
      <c r="Q36" s="660">
        <v>14.8</v>
      </c>
      <c r="R36" s="1037" t="s">
        <v>127</v>
      </c>
      <c r="S36" s="1037"/>
      <c r="T36" s="5"/>
      <c r="V36" s="379" t="s">
        <v>233</v>
      </c>
      <c r="W36" s="666">
        <v>0.8</v>
      </c>
      <c r="X36" s="666" t="s">
        <v>240</v>
      </c>
      <c r="Y36" s="81"/>
      <c r="Z36" s="81"/>
      <c r="AA36" s="81"/>
      <c r="AB36" s="81"/>
      <c r="AC36" s="81"/>
    </row>
    <row r="37" spans="2:29" ht="15" customHeight="1">
      <c r="D37" s="658" t="s">
        <v>241</v>
      </c>
      <c r="F37"/>
      <c r="H37" s="812"/>
      <c r="I37" s="659" t="s">
        <v>235</v>
      </c>
      <c r="J37" s="659" t="s">
        <v>944</v>
      </c>
      <c r="K37" s="659" t="s">
        <v>184</v>
      </c>
      <c r="L37" s="659" t="s">
        <v>133</v>
      </c>
      <c r="M37" s="659" t="str">
        <f t="shared" si="0"/>
        <v>Water Cooled Split ≥20 to &lt;63.3 tons Other</v>
      </c>
      <c r="N37" s="661">
        <v>12.2</v>
      </c>
      <c r="O37" s="661">
        <v>13.4</v>
      </c>
      <c r="P37" s="660">
        <v>13.8</v>
      </c>
      <c r="Q37" s="660">
        <v>14.6</v>
      </c>
      <c r="R37" s="1037" t="s">
        <v>127</v>
      </c>
      <c r="S37" s="1037"/>
      <c r="T37" s="5"/>
      <c r="V37" s="379" t="s">
        <v>242</v>
      </c>
      <c r="W37" s="666">
        <v>0.79</v>
      </c>
      <c r="X37" s="666" t="s">
        <v>240</v>
      </c>
      <c r="Y37" s="81"/>
      <c r="Z37" s="81"/>
      <c r="AA37" s="81"/>
      <c r="AB37" s="81"/>
      <c r="AC37" s="81"/>
    </row>
    <row r="38" spans="2:29" ht="15" customHeight="1">
      <c r="B38" s="656" t="s">
        <v>243</v>
      </c>
      <c r="F38"/>
      <c r="H38" s="812"/>
      <c r="I38" s="659" t="s">
        <v>235</v>
      </c>
      <c r="J38" s="659" t="s">
        <v>946</v>
      </c>
      <c r="K38" s="659" t="s">
        <v>184</v>
      </c>
      <c r="L38" s="659" t="s">
        <v>126</v>
      </c>
      <c r="M38" s="659" t="str">
        <f t="shared" si="0"/>
        <v>Water Cooled Packaged ≥20 to &lt;63.3 tons Electric Resistance (or None)</v>
      </c>
      <c r="N38" s="661">
        <v>12.4</v>
      </c>
      <c r="O38" s="661">
        <v>13.6</v>
      </c>
      <c r="P38" s="660">
        <v>14</v>
      </c>
      <c r="Q38" s="660">
        <v>14.8</v>
      </c>
      <c r="R38" s="1037" t="s">
        <v>127</v>
      </c>
      <c r="S38" s="1037"/>
      <c r="T38" s="5"/>
      <c r="V38" s="379" t="s">
        <v>244</v>
      </c>
      <c r="W38" s="666">
        <v>0.77</v>
      </c>
      <c r="X38" s="666" t="s">
        <v>240</v>
      </c>
      <c r="Y38" s="81"/>
      <c r="Z38" s="81"/>
      <c r="AA38" s="81"/>
      <c r="AB38" s="81"/>
      <c r="AC38" s="81"/>
    </row>
    <row r="39" spans="2:29" ht="15" customHeight="1">
      <c r="B39" s="658" t="s">
        <v>245</v>
      </c>
      <c r="D39" s="656" t="s">
        <v>246</v>
      </c>
      <c r="F39"/>
      <c r="H39" s="812"/>
      <c r="I39" s="659" t="s">
        <v>235</v>
      </c>
      <c r="J39" s="659" t="s">
        <v>946</v>
      </c>
      <c r="K39" s="659" t="s">
        <v>184</v>
      </c>
      <c r="L39" s="659" t="s">
        <v>133</v>
      </c>
      <c r="M39" s="659" t="str">
        <f t="shared" si="0"/>
        <v>Water Cooled Packaged ≥20 to &lt;63.3 tons Other</v>
      </c>
      <c r="N39" s="661">
        <v>12.2</v>
      </c>
      <c r="O39" s="661">
        <v>13.4</v>
      </c>
      <c r="P39" s="660">
        <v>13.8</v>
      </c>
      <c r="Q39" s="660">
        <v>14.6</v>
      </c>
      <c r="R39" s="1037" t="s">
        <v>127</v>
      </c>
      <c r="S39" s="1037"/>
      <c r="T39" s="5"/>
      <c r="V39" s="1042" t="s">
        <v>247</v>
      </c>
      <c r="W39" s="832"/>
      <c r="X39" s="833"/>
      <c r="Y39" s="81"/>
      <c r="Z39" s="81"/>
      <c r="AA39" s="81"/>
      <c r="AB39" s="81"/>
      <c r="AC39" s="81"/>
    </row>
    <row r="40" spans="2:29" ht="15" customHeight="1">
      <c r="B40" s="658" t="s">
        <v>248</v>
      </c>
      <c r="D40" s="658" t="s">
        <v>249</v>
      </c>
      <c r="F40"/>
      <c r="H40" s="812"/>
      <c r="I40" s="659" t="s">
        <v>235</v>
      </c>
      <c r="J40" s="659" t="s">
        <v>944</v>
      </c>
      <c r="K40" s="659" t="s">
        <v>192</v>
      </c>
      <c r="L40" s="659" t="s">
        <v>126</v>
      </c>
      <c r="M40" s="659" t="str">
        <f t="shared" si="0"/>
        <v>Water Cooled Split ≥63.3 tons Electric Resistance (or None)</v>
      </c>
      <c r="N40" s="661">
        <v>12.2</v>
      </c>
      <c r="O40" s="661">
        <v>13.5</v>
      </c>
      <c r="P40" s="660">
        <v>14</v>
      </c>
      <c r="Q40" s="660">
        <v>14.8</v>
      </c>
      <c r="R40" s="1037" t="s">
        <v>127</v>
      </c>
      <c r="S40" s="1037"/>
      <c r="T40" s="5"/>
      <c r="V40" s="379" t="s">
        <v>233</v>
      </c>
      <c r="W40" s="666">
        <v>0.82</v>
      </c>
      <c r="X40" s="666" t="s">
        <v>250</v>
      </c>
      <c r="Y40" s="81"/>
      <c r="Z40" s="81"/>
      <c r="AA40" s="81"/>
      <c r="AB40" s="81"/>
      <c r="AC40" s="81"/>
    </row>
    <row r="41" spans="2:29" ht="15" customHeight="1">
      <c r="B41" s="658" t="s">
        <v>251</v>
      </c>
      <c r="D41" s="658" t="s">
        <v>133</v>
      </c>
      <c r="F41"/>
      <c r="H41" s="812"/>
      <c r="I41" s="659" t="s">
        <v>235</v>
      </c>
      <c r="J41" s="659" t="s">
        <v>944</v>
      </c>
      <c r="K41" s="659" t="s">
        <v>192</v>
      </c>
      <c r="L41" s="659" t="s">
        <v>133</v>
      </c>
      <c r="M41" s="659" t="str">
        <f t="shared" si="0"/>
        <v>Water Cooled Split ≥63.3 tons Other</v>
      </c>
      <c r="N41" s="661">
        <v>12</v>
      </c>
      <c r="O41" s="661">
        <v>13.3</v>
      </c>
      <c r="P41" s="660">
        <v>13.8</v>
      </c>
      <c r="Q41" s="660">
        <v>14.6</v>
      </c>
      <c r="R41" s="1037" t="s">
        <v>127</v>
      </c>
      <c r="S41" s="1037"/>
      <c r="T41" s="5"/>
      <c r="V41" s="379" t="s">
        <v>242</v>
      </c>
      <c r="W41" s="666">
        <v>0.79</v>
      </c>
      <c r="X41" s="666" t="s">
        <v>240</v>
      </c>
      <c r="Y41" s="81"/>
      <c r="Z41" s="81"/>
      <c r="AA41" s="81"/>
      <c r="AB41" s="81"/>
      <c r="AC41" s="81"/>
    </row>
    <row r="42" spans="2:29" ht="15" customHeight="1">
      <c r="D42" s="658" t="s">
        <v>216</v>
      </c>
      <c r="F42"/>
      <c r="H42" s="812"/>
      <c r="I42" s="659" t="s">
        <v>235</v>
      </c>
      <c r="J42" s="659" t="s">
        <v>946</v>
      </c>
      <c r="K42" s="659" t="s">
        <v>192</v>
      </c>
      <c r="L42" s="659" t="s">
        <v>126</v>
      </c>
      <c r="M42" s="659" t="str">
        <f t="shared" si="0"/>
        <v>Water Cooled Packaged ≥63.3 tons Electric Resistance (or None)</v>
      </c>
      <c r="N42" s="661">
        <v>12.2</v>
      </c>
      <c r="O42" s="661">
        <v>13.5</v>
      </c>
      <c r="P42" s="660">
        <v>14</v>
      </c>
      <c r="Q42" s="660">
        <v>14.8</v>
      </c>
      <c r="R42" s="1037" t="s">
        <v>127</v>
      </c>
      <c r="S42" s="1037"/>
      <c r="T42" s="5"/>
      <c r="V42" s="379" t="s">
        <v>244</v>
      </c>
      <c r="W42" s="666">
        <v>0.77</v>
      </c>
      <c r="X42" s="666" t="s">
        <v>240</v>
      </c>
      <c r="Y42" s="81"/>
      <c r="Z42" s="81"/>
      <c r="AA42" s="81"/>
      <c r="AB42" s="81"/>
      <c r="AC42" s="81"/>
    </row>
    <row r="43" spans="2:29" ht="15" customHeight="1">
      <c r="B43" s="656" t="s">
        <v>252</v>
      </c>
      <c r="H43" s="812"/>
      <c r="I43" s="659" t="s">
        <v>235</v>
      </c>
      <c r="J43" s="659" t="s">
        <v>946</v>
      </c>
      <c r="K43" s="659" t="s">
        <v>192</v>
      </c>
      <c r="L43" s="659" t="s">
        <v>133</v>
      </c>
      <c r="M43" s="659" t="str">
        <f t="shared" si="0"/>
        <v>Water Cooled Packaged ≥63.3 tons Other</v>
      </c>
      <c r="N43" s="661">
        <v>12</v>
      </c>
      <c r="O43" s="661">
        <v>13.3</v>
      </c>
      <c r="P43" s="660">
        <v>13.8</v>
      </c>
      <c r="Q43" s="660">
        <v>14.6</v>
      </c>
      <c r="R43" s="1037" t="s">
        <v>127</v>
      </c>
      <c r="S43" s="1037"/>
      <c r="T43" s="5"/>
      <c r="V43" s="102" t="s">
        <v>253</v>
      </c>
      <c r="W43" s="103"/>
      <c r="X43" s="103"/>
      <c r="Y43" s="81"/>
      <c r="Z43" s="81"/>
      <c r="AA43" s="81"/>
      <c r="AB43" s="81"/>
      <c r="AC43" s="81"/>
    </row>
    <row r="44" spans="2:29" ht="15" customHeight="1">
      <c r="B44" s="658" t="s">
        <v>214</v>
      </c>
      <c r="D44" s="656" t="s">
        <v>254</v>
      </c>
      <c r="H44" s="812"/>
      <c r="I44" s="659" t="s">
        <v>238</v>
      </c>
      <c r="J44" s="659" t="s">
        <v>944</v>
      </c>
      <c r="K44" s="659" t="s">
        <v>204</v>
      </c>
      <c r="L44" s="659" t="s">
        <v>126</v>
      </c>
      <c r="M44" s="659" t="str">
        <f t="shared" si="0"/>
        <v>Evaporatively Cooled Split &lt;5.4 tons Electric Resistance (or None)</v>
      </c>
      <c r="N44" s="660">
        <v>12.1</v>
      </c>
      <c r="O44" s="661">
        <v>12.3</v>
      </c>
      <c r="P44" s="660">
        <v>14</v>
      </c>
      <c r="Q44" s="660">
        <v>0</v>
      </c>
      <c r="R44" s="1037" t="s">
        <v>127</v>
      </c>
      <c r="S44" s="1037"/>
      <c r="T44" s="5"/>
      <c r="V44" s="104"/>
      <c r="W44" s="105"/>
      <c r="X44" s="105"/>
      <c r="Y44" s="81"/>
      <c r="Z44" s="81"/>
      <c r="AA44" s="81"/>
      <c r="AB44" s="81"/>
      <c r="AC44" s="81"/>
    </row>
    <row r="45" spans="2:29" ht="15" customHeight="1">
      <c r="B45" s="658" t="s">
        <v>217</v>
      </c>
      <c r="D45" s="658" t="s">
        <v>232</v>
      </c>
      <c r="H45" s="812"/>
      <c r="I45" s="659" t="s">
        <v>238</v>
      </c>
      <c r="J45" s="659" t="s">
        <v>944</v>
      </c>
      <c r="K45" s="659" t="s">
        <v>204</v>
      </c>
      <c r="L45" s="659" t="s">
        <v>133</v>
      </c>
      <c r="M45" s="659" t="str">
        <f t="shared" si="0"/>
        <v>Evaporatively Cooled Split &lt;5.4 tons Other</v>
      </c>
      <c r="N45" s="660">
        <v>11.9</v>
      </c>
      <c r="O45" s="661">
        <v>12.1</v>
      </c>
      <c r="P45" s="660">
        <v>14</v>
      </c>
      <c r="Q45" s="660">
        <v>0</v>
      </c>
      <c r="R45" s="1037" t="s">
        <v>127</v>
      </c>
      <c r="S45" s="1037"/>
      <c r="T45" s="5"/>
      <c r="V45" s="369" t="s">
        <v>255</v>
      </c>
      <c r="W45" s="657" t="s">
        <v>256</v>
      </c>
      <c r="X45" s="657" t="s">
        <v>257</v>
      </c>
      <c r="Y45" s="657" t="s">
        <v>258</v>
      </c>
      <c r="Z45" s="657" t="s">
        <v>259</v>
      </c>
      <c r="AA45" s="96"/>
      <c r="AB45" s="96"/>
      <c r="AC45" s="81"/>
    </row>
    <row r="46" spans="2:29" ht="15" customHeight="1">
      <c r="D46" s="658" t="s">
        <v>260</v>
      </c>
      <c r="H46" s="812"/>
      <c r="I46" s="659" t="s">
        <v>238</v>
      </c>
      <c r="J46" s="659" t="s">
        <v>946</v>
      </c>
      <c r="K46" s="659" t="s">
        <v>204</v>
      </c>
      <c r="L46" s="659" t="s">
        <v>126</v>
      </c>
      <c r="M46" s="659" t="str">
        <f t="shared" si="0"/>
        <v>Evaporatively Cooled Packaged &lt;5.4 tons Electric Resistance (or None)</v>
      </c>
      <c r="N46" s="660">
        <v>12.1</v>
      </c>
      <c r="O46" s="661">
        <v>12.3</v>
      </c>
      <c r="P46" s="660">
        <v>14</v>
      </c>
      <c r="Q46" s="660">
        <v>0</v>
      </c>
      <c r="R46" s="1037" t="s">
        <v>127</v>
      </c>
      <c r="S46" s="1037"/>
      <c r="T46" s="5"/>
      <c r="V46" s="375" t="s">
        <v>117</v>
      </c>
      <c r="W46" s="662">
        <v>840</v>
      </c>
      <c r="X46" s="662">
        <v>1697</v>
      </c>
      <c r="Y46" s="662">
        <v>11</v>
      </c>
      <c r="Z46" s="667">
        <v>0.60750000000000004</v>
      </c>
      <c r="AA46" s="97"/>
      <c r="AB46" s="97"/>
      <c r="AC46" s="81"/>
    </row>
    <row r="47" spans="2:29" ht="15" customHeight="1">
      <c r="B47" s="656" t="s">
        <v>261</v>
      </c>
      <c r="D47" s="658" t="s">
        <v>262</v>
      </c>
      <c r="H47" s="812"/>
      <c r="I47" s="659" t="s">
        <v>238</v>
      </c>
      <c r="J47" s="659" t="s">
        <v>946</v>
      </c>
      <c r="K47" s="659" t="s">
        <v>204</v>
      </c>
      <c r="L47" s="659" t="s">
        <v>133</v>
      </c>
      <c r="M47" s="659" t="str">
        <f t="shared" si="0"/>
        <v>Evaporatively Cooled Packaged &lt;5.4 tons Other</v>
      </c>
      <c r="N47" s="660">
        <v>11.9</v>
      </c>
      <c r="O47" s="661">
        <v>12.1</v>
      </c>
      <c r="P47" s="660">
        <v>14</v>
      </c>
      <c r="Q47" s="660">
        <v>0</v>
      </c>
      <c r="R47" s="1037" t="s">
        <v>127</v>
      </c>
      <c r="S47" s="1037"/>
      <c r="T47" s="5"/>
      <c r="V47" s="382" t="s">
        <v>263</v>
      </c>
      <c r="W47" s="668">
        <v>721</v>
      </c>
      <c r="X47" s="668">
        <v>1499</v>
      </c>
      <c r="Y47" s="668">
        <v>15</v>
      </c>
      <c r="Z47" s="669">
        <v>0.60119999999999996</v>
      </c>
      <c r="AA47" s="81"/>
      <c r="AB47" s="81"/>
      <c r="AC47" s="81"/>
    </row>
    <row r="48" spans="2:29" ht="15" customHeight="1">
      <c r="B48" s="658" t="s">
        <v>264</v>
      </c>
      <c r="H48" s="812"/>
      <c r="I48" s="659" t="s">
        <v>238</v>
      </c>
      <c r="J48" s="659" t="s">
        <v>944</v>
      </c>
      <c r="K48" s="659" t="s">
        <v>147</v>
      </c>
      <c r="L48" s="659" t="s">
        <v>126</v>
      </c>
      <c r="M48" s="659" t="str">
        <f t="shared" si="0"/>
        <v>Evaporatively Cooled Split ≥5.4 to &lt;11.25 tons Electric Resistance (or None)</v>
      </c>
      <c r="N48" s="661">
        <v>12.1</v>
      </c>
      <c r="O48" s="661">
        <v>12.3</v>
      </c>
      <c r="P48" s="660">
        <v>14</v>
      </c>
      <c r="Q48" s="660">
        <v>15.3</v>
      </c>
      <c r="R48" s="1037" t="s">
        <v>127</v>
      </c>
      <c r="S48" s="1037"/>
      <c r="T48" s="5"/>
      <c r="V48" s="382" t="s">
        <v>265</v>
      </c>
      <c r="W48" s="668">
        <v>560</v>
      </c>
      <c r="X48" s="668">
        <v>1325</v>
      </c>
      <c r="Y48" s="668">
        <v>18</v>
      </c>
      <c r="Z48" s="669">
        <v>0.53690000000000004</v>
      </c>
      <c r="AA48" s="81"/>
      <c r="AB48" s="81"/>
      <c r="AC48" s="81"/>
    </row>
    <row r="49" spans="2:29" ht="15" customHeight="1">
      <c r="B49" s="658" t="s">
        <v>266</v>
      </c>
      <c r="H49" s="812"/>
      <c r="I49" s="659" t="s">
        <v>238</v>
      </c>
      <c r="J49" s="659" t="s">
        <v>944</v>
      </c>
      <c r="K49" s="659" t="s">
        <v>147</v>
      </c>
      <c r="L49" s="659" t="s">
        <v>133</v>
      </c>
      <c r="M49" s="659" t="str">
        <f t="shared" si="0"/>
        <v>Evaporatively Cooled Split ≥5.4 to &lt;11.25 tons Other</v>
      </c>
      <c r="N49" s="661">
        <v>11.9</v>
      </c>
      <c r="O49" s="661">
        <v>12.1</v>
      </c>
      <c r="P49" s="660">
        <v>13.8</v>
      </c>
      <c r="Q49" s="660">
        <v>15.1</v>
      </c>
      <c r="R49" s="1037" t="s">
        <v>127</v>
      </c>
      <c r="S49" s="1037"/>
      <c r="T49" s="5"/>
      <c r="V49" s="100" t="s">
        <v>267</v>
      </c>
      <c r="W49" s="81"/>
      <c r="X49" s="81"/>
      <c r="Y49" s="81"/>
      <c r="Z49" s="81"/>
      <c r="AA49" s="81"/>
      <c r="AB49" s="81"/>
      <c r="AC49" s="81"/>
    </row>
    <row r="50" spans="2:29" ht="15" customHeight="1">
      <c r="H50" s="812"/>
      <c r="I50" s="659" t="s">
        <v>238</v>
      </c>
      <c r="J50" s="659" t="s">
        <v>946</v>
      </c>
      <c r="K50" s="659" t="s">
        <v>147</v>
      </c>
      <c r="L50" s="659" t="s">
        <v>126</v>
      </c>
      <c r="M50" s="659" t="str">
        <f t="shared" si="0"/>
        <v>Evaporatively Cooled Packaged ≥5.4 to &lt;11.25 tons Electric Resistance (or None)</v>
      </c>
      <c r="N50" s="661">
        <v>12.1</v>
      </c>
      <c r="O50" s="661">
        <v>12.3</v>
      </c>
      <c r="P50" s="660">
        <v>14</v>
      </c>
      <c r="Q50" s="660">
        <v>15.3</v>
      </c>
      <c r="R50" s="1037" t="s">
        <v>127</v>
      </c>
      <c r="S50" s="1037"/>
      <c r="T50" s="5"/>
      <c r="V50" s="104"/>
      <c r="W50" s="106"/>
      <c r="X50" s="81"/>
      <c r="Y50" s="81"/>
      <c r="Z50" s="81"/>
      <c r="AA50" s="81"/>
      <c r="AB50" s="81"/>
      <c r="AC50" s="81"/>
    </row>
    <row r="51" spans="2:29" ht="15" customHeight="1">
      <c r="B51" s="656" t="s">
        <v>268</v>
      </c>
      <c r="H51" s="812"/>
      <c r="I51" s="659" t="s">
        <v>238</v>
      </c>
      <c r="J51" s="659" t="s">
        <v>946</v>
      </c>
      <c r="K51" s="659" t="s">
        <v>147</v>
      </c>
      <c r="L51" s="659" t="s">
        <v>133</v>
      </c>
      <c r="M51" s="659" t="str">
        <f t="shared" si="0"/>
        <v>Evaporatively Cooled Packaged ≥5.4 to &lt;11.25 tons Other</v>
      </c>
      <c r="N51" s="661">
        <v>11.9</v>
      </c>
      <c r="O51" s="661">
        <v>12.1</v>
      </c>
      <c r="P51" s="660">
        <v>13.8</v>
      </c>
      <c r="Q51" s="660">
        <v>15.1</v>
      </c>
      <c r="R51" s="1037" t="s">
        <v>127</v>
      </c>
      <c r="S51" s="1037"/>
      <c r="T51" s="5"/>
      <c r="V51" s="369" t="s">
        <v>269</v>
      </c>
      <c r="W51" s="657" t="s">
        <v>270</v>
      </c>
      <c r="X51" s="81"/>
      <c r="Y51" s="81"/>
      <c r="Z51" s="81"/>
      <c r="AA51" s="81"/>
      <c r="AB51" s="81"/>
      <c r="AC51" s="81"/>
    </row>
    <row r="52" spans="2:29" ht="15" customHeight="1">
      <c r="B52" s="658" t="s">
        <v>271</v>
      </c>
      <c r="H52" s="812"/>
      <c r="I52" s="659" t="s">
        <v>238</v>
      </c>
      <c r="J52" s="659" t="s">
        <v>944</v>
      </c>
      <c r="K52" s="659" t="s">
        <v>160</v>
      </c>
      <c r="L52" s="659" t="s">
        <v>126</v>
      </c>
      <c r="M52" s="659" t="str">
        <f t="shared" si="0"/>
        <v>Evaporatively Cooled Split ≥11.25 to &lt;20 tons Electric Resistance (or None)</v>
      </c>
      <c r="N52" s="661">
        <v>12</v>
      </c>
      <c r="O52" s="661">
        <v>12.2</v>
      </c>
      <c r="P52" s="660">
        <v>13.5</v>
      </c>
      <c r="Q52" s="660">
        <v>14.3</v>
      </c>
      <c r="R52" s="1037" t="s">
        <v>127</v>
      </c>
      <c r="S52" s="1037"/>
      <c r="T52" s="5"/>
      <c r="V52" s="375" t="s">
        <v>272</v>
      </c>
      <c r="W52" s="662">
        <v>4</v>
      </c>
      <c r="X52" s="81"/>
      <c r="Y52" s="81"/>
      <c r="Z52" s="81"/>
      <c r="AA52" s="81"/>
      <c r="AB52" s="81"/>
      <c r="AC52" s="81"/>
    </row>
    <row r="53" spans="2:29" ht="15" customHeight="1">
      <c r="B53" s="658" t="s">
        <v>273</v>
      </c>
      <c r="H53" s="812"/>
      <c r="I53" s="659" t="s">
        <v>238</v>
      </c>
      <c r="J53" s="659" t="s">
        <v>944</v>
      </c>
      <c r="K53" s="659" t="s">
        <v>160</v>
      </c>
      <c r="L53" s="659" t="s">
        <v>133</v>
      </c>
      <c r="M53" s="659" t="str">
        <f t="shared" si="0"/>
        <v>Evaporatively Cooled Split ≥11.25 to &lt;20 tons Other</v>
      </c>
      <c r="N53" s="661">
        <v>11.8</v>
      </c>
      <c r="O53" s="661">
        <v>12</v>
      </c>
      <c r="P53" s="660">
        <v>13.3</v>
      </c>
      <c r="Q53" s="660">
        <v>14.1</v>
      </c>
      <c r="R53" s="1037" t="s">
        <v>127</v>
      </c>
      <c r="S53" s="1037"/>
      <c r="T53" s="5"/>
      <c r="V53" s="375" t="s">
        <v>133</v>
      </c>
      <c r="W53" s="662">
        <v>2</v>
      </c>
      <c r="X53" s="81"/>
      <c r="Y53" s="81"/>
      <c r="Z53" s="81"/>
      <c r="AA53" s="81"/>
      <c r="AB53" s="81"/>
      <c r="AC53" s="81"/>
    </row>
    <row r="54" spans="2:29" ht="15" customHeight="1">
      <c r="B54"/>
      <c r="H54" s="812"/>
      <c r="I54" s="659" t="s">
        <v>238</v>
      </c>
      <c r="J54" s="659" t="s">
        <v>946</v>
      </c>
      <c r="K54" s="659" t="s">
        <v>160</v>
      </c>
      <c r="L54" s="659" t="s">
        <v>126</v>
      </c>
      <c r="M54" s="659" t="str">
        <f t="shared" si="0"/>
        <v>Evaporatively Cooled Packaged ≥11.25 to &lt;20 tons Electric Resistance (or None)</v>
      </c>
      <c r="N54" s="661">
        <v>12</v>
      </c>
      <c r="O54" s="661">
        <v>12.2</v>
      </c>
      <c r="P54" s="660">
        <v>13.5</v>
      </c>
      <c r="Q54" s="660">
        <v>14.3</v>
      </c>
      <c r="R54" s="1037" t="s">
        <v>127</v>
      </c>
      <c r="S54" s="1037"/>
      <c r="T54" s="5"/>
      <c r="V54" s="375" t="s">
        <v>274</v>
      </c>
      <c r="W54" s="662">
        <v>1</v>
      </c>
      <c r="X54" s="81"/>
      <c r="Y54" s="81"/>
      <c r="Z54" s="81"/>
      <c r="AA54" s="81"/>
      <c r="AB54" s="81"/>
      <c r="AC54" s="81"/>
    </row>
    <row r="55" spans="2:29" ht="15" customHeight="1">
      <c r="B55" s="656" t="s">
        <v>98</v>
      </c>
      <c r="C55" s="670" t="s">
        <v>275</v>
      </c>
      <c r="H55" s="812"/>
      <c r="I55" s="659" t="s">
        <v>238</v>
      </c>
      <c r="J55" s="659" t="s">
        <v>946</v>
      </c>
      <c r="K55" s="659" t="s">
        <v>160</v>
      </c>
      <c r="L55" s="659" t="s">
        <v>133</v>
      </c>
      <c r="M55" s="659" t="str">
        <f t="shared" si="0"/>
        <v>Evaporatively Cooled Packaged ≥11.25 to &lt;20 tons Other</v>
      </c>
      <c r="N55" s="661">
        <v>11.8</v>
      </c>
      <c r="O55" s="661">
        <v>12</v>
      </c>
      <c r="P55" s="660">
        <v>13.3</v>
      </c>
      <c r="Q55" s="660">
        <v>14.1</v>
      </c>
      <c r="R55" s="1037" t="s">
        <v>127</v>
      </c>
      <c r="S55" s="1037"/>
      <c r="T55" s="5"/>
      <c r="V55" s="100" t="s">
        <v>276</v>
      </c>
      <c r="W55" s="81"/>
      <c r="X55" s="81"/>
      <c r="Y55" s="81"/>
      <c r="Z55" s="81"/>
      <c r="AA55" s="81"/>
      <c r="AB55" s="81"/>
      <c r="AC55" s="81"/>
    </row>
    <row r="56" spans="2:29" ht="15" customHeight="1">
      <c r="B56" s="671" t="s">
        <v>254</v>
      </c>
      <c r="C56" s="671">
        <v>23</v>
      </c>
      <c r="H56" s="812"/>
      <c r="I56" s="659" t="s">
        <v>238</v>
      </c>
      <c r="J56" s="659" t="s">
        <v>944</v>
      </c>
      <c r="K56" s="659" t="s">
        <v>184</v>
      </c>
      <c r="L56" s="659" t="s">
        <v>126</v>
      </c>
      <c r="M56" s="659" t="str">
        <f t="shared" si="0"/>
        <v>Evaporatively Cooled Split ≥20 to &lt;63.3 tons Electric Resistance (or None)</v>
      </c>
      <c r="N56" s="661">
        <v>11.9</v>
      </c>
      <c r="O56" s="661">
        <v>12.1</v>
      </c>
      <c r="P56" s="660">
        <v>13.5</v>
      </c>
      <c r="Q56" s="660">
        <v>14.3</v>
      </c>
      <c r="R56" s="1037" t="s">
        <v>127</v>
      </c>
      <c r="S56" s="1037"/>
      <c r="T56" s="5"/>
      <c r="V56" s="81"/>
      <c r="W56" s="81"/>
      <c r="X56" s="81"/>
      <c r="Y56" s="81"/>
      <c r="Z56" s="81"/>
      <c r="AA56" s="81"/>
      <c r="AB56" s="81"/>
      <c r="AC56" s="81"/>
    </row>
    <row r="57" spans="2:29" ht="15" customHeight="1">
      <c r="B57" s="671" t="s">
        <v>277</v>
      </c>
      <c r="C57" s="671">
        <v>15</v>
      </c>
      <c r="H57" s="812"/>
      <c r="I57" s="659" t="s">
        <v>238</v>
      </c>
      <c r="J57" s="659" t="s">
        <v>944</v>
      </c>
      <c r="K57" s="659" t="s">
        <v>184</v>
      </c>
      <c r="L57" s="659" t="s">
        <v>133</v>
      </c>
      <c r="M57" s="659" t="str">
        <f t="shared" si="0"/>
        <v>Evaporatively Cooled Split ≥20 to &lt;63.3 tons Other</v>
      </c>
      <c r="N57" s="661">
        <v>11.7</v>
      </c>
      <c r="O57" s="661">
        <v>11.9</v>
      </c>
      <c r="P57" s="660">
        <v>13.3</v>
      </c>
      <c r="Q57" s="660">
        <v>14.1</v>
      </c>
      <c r="R57" s="1037" t="s">
        <v>127</v>
      </c>
      <c r="S57" s="1037"/>
      <c r="T57" s="5"/>
      <c r="V57" s="81" t="s">
        <v>278</v>
      </c>
      <c r="W57" s="81"/>
      <c r="X57" s="81"/>
      <c r="Y57" s="81"/>
      <c r="Z57" s="81"/>
      <c r="AA57" s="81"/>
      <c r="AB57" s="81"/>
      <c r="AC57" s="81"/>
    </row>
    <row r="58" spans="2:29" ht="15" customHeight="1">
      <c r="B58" s="671" t="s">
        <v>279</v>
      </c>
      <c r="C58" s="671">
        <v>15</v>
      </c>
      <c r="D58"/>
      <c r="H58" s="812"/>
      <c r="I58" s="659" t="s">
        <v>238</v>
      </c>
      <c r="J58" s="659" t="s">
        <v>946</v>
      </c>
      <c r="K58" s="659" t="s">
        <v>184</v>
      </c>
      <c r="L58" s="659" t="s">
        <v>126</v>
      </c>
      <c r="M58" s="659" t="str">
        <f t="shared" si="0"/>
        <v>Evaporatively Cooled Packaged ≥20 to &lt;63.3 tons Electric Resistance (or None)</v>
      </c>
      <c r="N58" s="661">
        <v>11.9</v>
      </c>
      <c r="O58" s="661">
        <v>12.1</v>
      </c>
      <c r="P58" s="660">
        <v>13.5</v>
      </c>
      <c r="Q58" s="660">
        <v>14.3</v>
      </c>
      <c r="R58" s="1037" t="s">
        <v>127</v>
      </c>
      <c r="S58" s="1037"/>
      <c r="T58" s="5"/>
      <c r="V58" s="81" t="s">
        <v>280</v>
      </c>
      <c r="W58" s="81"/>
      <c r="X58" s="81"/>
      <c r="Y58" s="81"/>
      <c r="Z58" s="81"/>
      <c r="AA58" s="81"/>
      <c r="AB58" s="81"/>
      <c r="AC58" s="81"/>
    </row>
    <row r="59" spans="2:29" ht="15" customHeight="1">
      <c r="B59" s="671" t="s">
        <v>261</v>
      </c>
      <c r="C59" s="671">
        <v>15</v>
      </c>
      <c r="D59"/>
      <c r="H59" s="812"/>
      <c r="I59" s="659" t="s">
        <v>238</v>
      </c>
      <c r="J59" s="659" t="s">
        <v>946</v>
      </c>
      <c r="K59" s="659" t="s">
        <v>184</v>
      </c>
      <c r="L59" s="659" t="s">
        <v>133</v>
      </c>
      <c r="M59" s="659" t="str">
        <f t="shared" si="0"/>
        <v>Evaporatively Cooled Packaged ≥20 to &lt;63.3 tons Other</v>
      </c>
      <c r="N59" s="661">
        <v>11.7</v>
      </c>
      <c r="O59" s="661">
        <v>11.9</v>
      </c>
      <c r="P59" s="660">
        <v>13.3</v>
      </c>
      <c r="Q59" s="660">
        <v>14.1</v>
      </c>
      <c r="R59" s="1037" t="s">
        <v>127</v>
      </c>
      <c r="S59" s="1037"/>
      <c r="T59" s="5"/>
      <c r="V59" s="81"/>
      <c r="W59" s="81"/>
      <c r="X59" s="81"/>
      <c r="Y59" s="81"/>
      <c r="Z59" s="81"/>
      <c r="AA59" s="81"/>
      <c r="AB59" s="81"/>
      <c r="AC59" s="81"/>
    </row>
    <row r="60" spans="2:29" ht="15" customHeight="1">
      <c r="B60" s="671" t="s">
        <v>281</v>
      </c>
      <c r="C60" s="671">
        <v>18</v>
      </c>
      <c r="D60"/>
      <c r="H60" s="812"/>
      <c r="I60" s="659" t="s">
        <v>238</v>
      </c>
      <c r="J60" s="659" t="s">
        <v>944</v>
      </c>
      <c r="K60" s="659" t="s">
        <v>192</v>
      </c>
      <c r="L60" s="659" t="s">
        <v>126</v>
      </c>
      <c r="M60" s="659" t="str">
        <f t="shared" si="0"/>
        <v>Evaporatively Cooled Split ≥63.3 tons Electric Resistance (or None)</v>
      </c>
      <c r="N60" s="661">
        <v>11.7</v>
      </c>
      <c r="O60" s="661">
        <v>11.9</v>
      </c>
      <c r="P60" s="660">
        <v>13.5</v>
      </c>
      <c r="Q60" s="660">
        <v>14.3</v>
      </c>
      <c r="R60" s="1037" t="s">
        <v>127</v>
      </c>
      <c r="S60" s="1037"/>
      <c r="T60" s="5"/>
      <c r="V60" s="369" t="s">
        <v>282</v>
      </c>
      <c r="W60" s="657" t="s">
        <v>283</v>
      </c>
      <c r="X60" s="81"/>
      <c r="Y60" s="81"/>
      <c r="Z60" s="81"/>
      <c r="AA60" s="81"/>
      <c r="AB60" s="81"/>
      <c r="AC60" s="81"/>
    </row>
    <row r="61" spans="2:29" ht="15" customHeight="1">
      <c r="B61" s="671" t="s">
        <v>207</v>
      </c>
      <c r="C61" s="671">
        <v>15</v>
      </c>
      <c r="H61" s="812"/>
      <c r="I61" s="659" t="s">
        <v>238</v>
      </c>
      <c r="J61" s="659" t="s">
        <v>944</v>
      </c>
      <c r="K61" s="659" t="s">
        <v>192</v>
      </c>
      <c r="L61" s="659" t="s">
        <v>133</v>
      </c>
      <c r="M61" s="659" t="str">
        <f t="shared" si="0"/>
        <v>Evaporatively Cooled Split ≥63.3 tons Other</v>
      </c>
      <c r="N61" s="661">
        <v>11.5</v>
      </c>
      <c r="O61" s="661">
        <v>11.7</v>
      </c>
      <c r="P61" s="660">
        <v>13.3</v>
      </c>
      <c r="Q61" s="660">
        <v>14.1</v>
      </c>
      <c r="R61" s="1037" t="s">
        <v>127</v>
      </c>
      <c r="S61" s="1037"/>
      <c r="T61" s="5"/>
      <c r="V61" s="375" t="s">
        <v>284</v>
      </c>
      <c r="W61" s="672">
        <v>0.05</v>
      </c>
      <c r="X61" s="81"/>
      <c r="Y61" s="81"/>
      <c r="Z61" s="81"/>
      <c r="AA61" s="81"/>
      <c r="AB61" s="81"/>
      <c r="AC61" s="81"/>
    </row>
    <row r="62" spans="2:29" ht="15" customHeight="1">
      <c r="B62" s="671" t="s">
        <v>219</v>
      </c>
      <c r="C62" s="671">
        <v>10</v>
      </c>
      <c r="H62" s="812"/>
      <c r="I62" s="659" t="s">
        <v>238</v>
      </c>
      <c r="J62" s="659" t="s">
        <v>946</v>
      </c>
      <c r="K62" s="659" t="s">
        <v>192</v>
      </c>
      <c r="L62" s="659" t="s">
        <v>126</v>
      </c>
      <c r="M62" s="659" t="str">
        <f t="shared" si="0"/>
        <v>Evaporatively Cooled Packaged ≥63.3 tons Electric Resistance (or None)</v>
      </c>
      <c r="N62" s="661">
        <v>11.7</v>
      </c>
      <c r="O62" s="661">
        <v>11.9</v>
      </c>
      <c r="P62" s="660">
        <v>13.5</v>
      </c>
      <c r="Q62" s="660">
        <v>14.3</v>
      </c>
      <c r="R62" s="1037" t="s">
        <v>127</v>
      </c>
      <c r="S62" s="1037"/>
      <c r="T62" s="5"/>
      <c r="V62" s="375" t="s">
        <v>285</v>
      </c>
      <c r="W62" s="672">
        <v>2.1999999999999999E-2</v>
      </c>
      <c r="X62" s="81"/>
      <c r="Y62" s="81"/>
      <c r="Z62" s="81"/>
      <c r="AA62" s="81"/>
      <c r="AB62" s="81"/>
      <c r="AC62" s="81"/>
    </row>
    <row r="63" spans="2:29" ht="15" customHeight="1">
      <c r="B63" s="671" t="s">
        <v>286</v>
      </c>
      <c r="C63" s="671">
        <v>7.5</v>
      </c>
      <c r="H63" s="813"/>
      <c r="I63" s="659" t="s">
        <v>238</v>
      </c>
      <c r="J63" s="659" t="s">
        <v>946</v>
      </c>
      <c r="K63" s="659" t="s">
        <v>192</v>
      </c>
      <c r="L63" s="659" t="s">
        <v>133</v>
      </c>
      <c r="M63" s="659" t="str">
        <f t="shared" si="0"/>
        <v>Evaporatively Cooled Packaged ≥63.3 tons Other</v>
      </c>
      <c r="N63" s="661">
        <v>11.5</v>
      </c>
      <c r="O63" s="661">
        <v>11.7</v>
      </c>
      <c r="P63" s="660">
        <v>13.3</v>
      </c>
      <c r="Q63" s="660">
        <v>14.1</v>
      </c>
      <c r="R63" s="1037" t="s">
        <v>127</v>
      </c>
      <c r="S63" s="1037"/>
      <c r="T63" s="5"/>
      <c r="V63" s="375" t="s">
        <v>287</v>
      </c>
      <c r="W63" s="672">
        <v>7.0999999999999994E-2</v>
      </c>
      <c r="X63" s="81"/>
      <c r="Y63" s="81"/>
      <c r="Z63" s="81"/>
      <c r="AA63" s="81"/>
      <c r="AB63" s="81"/>
      <c r="AC63" s="81"/>
    </row>
    <row r="64" spans="2:29">
      <c r="B64" s="671" t="s">
        <v>288</v>
      </c>
      <c r="C64" s="671">
        <v>12</v>
      </c>
      <c r="H64" s="2"/>
      <c r="I64" s="4"/>
      <c r="J64" s="4"/>
      <c r="K64" s="4"/>
      <c r="L64" s="4"/>
      <c r="M64" s="4"/>
      <c r="N64" s="4"/>
      <c r="O64" s="4"/>
      <c r="P64" s="4"/>
      <c r="Q64" s="4"/>
      <c r="R64" s="3"/>
      <c r="S64" s="5"/>
      <c r="T64" s="5"/>
      <c r="V64" s="100" t="s">
        <v>289</v>
      </c>
      <c r="W64" s="81"/>
      <c r="X64" s="81"/>
      <c r="Y64" s="81"/>
      <c r="Z64" s="81"/>
      <c r="AA64" s="81"/>
      <c r="AB64" s="81"/>
      <c r="AC64" s="81"/>
    </row>
    <row r="65" spans="2:29">
      <c r="B65" s="671" t="s">
        <v>290</v>
      </c>
      <c r="C65" s="671">
        <v>20</v>
      </c>
      <c r="H65" s="2"/>
      <c r="I65" s="4"/>
      <c r="J65" s="4"/>
      <c r="K65" s="4"/>
      <c r="L65" s="4"/>
      <c r="M65" s="4"/>
      <c r="N65" s="4"/>
      <c r="O65" s="4"/>
      <c r="P65" s="4"/>
      <c r="Q65" s="4"/>
      <c r="R65" s="4"/>
      <c r="S65" s="5"/>
      <c r="T65" s="5"/>
      <c r="V65" s="81"/>
      <c r="W65" s="81"/>
      <c r="X65" s="81"/>
      <c r="Y65" s="81"/>
      <c r="Z65" s="81"/>
      <c r="AA65" s="81"/>
      <c r="AB65" s="81"/>
      <c r="AC65" s="81"/>
    </row>
    <row r="66" spans="2:29" ht="14.25" customHeight="1">
      <c r="B66" s="671" t="s">
        <v>291</v>
      </c>
      <c r="C66" s="671">
        <v>15</v>
      </c>
      <c r="H66" s="1039" t="s">
        <v>98</v>
      </c>
      <c r="I66" s="1039" t="s">
        <v>292</v>
      </c>
      <c r="J66" s="1039" t="s">
        <v>221</v>
      </c>
      <c r="K66" s="1039" t="s">
        <v>293</v>
      </c>
      <c r="L66" s="1039" t="s">
        <v>294</v>
      </c>
      <c r="M66" s="1039" t="s">
        <v>295</v>
      </c>
      <c r="N66" s="1038" t="s">
        <v>104</v>
      </c>
      <c r="O66" s="1038" t="s">
        <v>296</v>
      </c>
      <c r="P66" s="1038" t="s">
        <v>297</v>
      </c>
      <c r="Q66" s="1045" t="s">
        <v>106</v>
      </c>
      <c r="R66" s="1038" t="s">
        <v>107</v>
      </c>
      <c r="S66" s="1043" t="s">
        <v>298</v>
      </c>
      <c r="T66" s="1044" t="s">
        <v>108</v>
      </c>
      <c r="V66" s="81" t="s">
        <v>299</v>
      </c>
      <c r="W66" s="81"/>
      <c r="X66" s="81"/>
      <c r="Y66" s="81"/>
      <c r="Z66" s="81"/>
      <c r="AA66" s="81"/>
      <c r="AB66" s="81"/>
      <c r="AC66" s="81"/>
    </row>
    <row r="67" spans="2:29">
      <c r="H67" s="1039"/>
      <c r="I67" s="1039"/>
      <c r="J67" s="1039"/>
      <c r="K67" s="1039"/>
      <c r="L67" s="1039"/>
      <c r="M67" s="1039"/>
      <c r="N67" s="1038"/>
      <c r="O67" s="1038"/>
      <c r="P67" s="1038"/>
      <c r="Q67" s="1045"/>
      <c r="R67" s="1038"/>
      <c r="S67" s="1043"/>
      <c r="T67" s="1044"/>
      <c r="V67" s="81" t="s">
        <v>300</v>
      </c>
      <c r="W67" s="81"/>
      <c r="X67" s="81"/>
      <c r="Y67" s="81"/>
      <c r="Z67" s="81"/>
      <c r="AA67" s="81"/>
      <c r="AB67" s="81"/>
      <c r="AC67" s="81"/>
    </row>
    <row r="68" spans="2:29" ht="15" customHeight="1">
      <c r="B68" s="658" t="s">
        <v>292</v>
      </c>
      <c r="C68" s="658" t="s">
        <v>301</v>
      </c>
      <c r="D68" s="658" t="s">
        <v>302</v>
      </c>
      <c r="H68" s="825" t="s">
        <v>303</v>
      </c>
      <c r="I68" s="673" t="s">
        <v>245</v>
      </c>
      <c r="J68" s="673" t="s">
        <v>214</v>
      </c>
      <c r="K68" s="659" t="s">
        <v>204</v>
      </c>
      <c r="L68" s="659" t="s">
        <v>126</v>
      </c>
      <c r="M68" s="659" t="str">
        <f>_xlfn.CONCAT(I68," ",J68," ",K68," ",L68)</f>
        <v>Air Source Split &lt;5.4 tons Electric Resistance (or None)</v>
      </c>
      <c r="N68" s="660">
        <f>(-0.02*(O68)^2)+(1.12*O68)</f>
        <v>11.760000000000002</v>
      </c>
      <c r="O68" s="674">
        <v>14</v>
      </c>
      <c r="P68" s="674">
        <v>8.1999999999999993</v>
      </c>
      <c r="Q68" s="660">
        <v>12.5</v>
      </c>
      <c r="R68" s="660">
        <v>15</v>
      </c>
      <c r="S68" s="660">
        <v>8.5</v>
      </c>
      <c r="T68" s="675" t="s">
        <v>127</v>
      </c>
      <c r="V68" s="81"/>
      <c r="W68" s="81"/>
      <c r="X68" s="81"/>
      <c r="Y68" s="81"/>
      <c r="Z68" s="81"/>
      <c r="AA68" s="81"/>
      <c r="AB68" s="81"/>
      <c r="AC68" s="81"/>
    </row>
    <row r="69" spans="2:29" ht="15" customHeight="1">
      <c r="B69" s="671" t="s">
        <v>304</v>
      </c>
      <c r="C69" s="676">
        <v>0.36</v>
      </c>
      <c r="D69" s="676">
        <v>0.58799999999999997</v>
      </c>
      <c r="H69" s="826"/>
      <c r="I69" s="673" t="s">
        <v>245</v>
      </c>
      <c r="J69" s="673" t="s">
        <v>214</v>
      </c>
      <c r="K69" s="659" t="s">
        <v>204</v>
      </c>
      <c r="L69" s="659" t="s">
        <v>133</v>
      </c>
      <c r="M69" s="659" t="str">
        <f t="shared" ref="M69:M83" si="1">_xlfn.CONCAT(I69," ",J69," ",K69," ",L69)</f>
        <v>Air Source Split &lt;5.4 tons Other</v>
      </c>
      <c r="N69" s="660">
        <f t="shared" ref="N69:N71" si="2">(-0.02*(O69)^2)+(1.12*O69)</f>
        <v>11.647200000000002</v>
      </c>
      <c r="O69" s="674">
        <v>13.8</v>
      </c>
      <c r="P69" s="674">
        <v>8.1999999999999993</v>
      </c>
      <c r="Q69" s="660">
        <v>12.5</v>
      </c>
      <c r="R69" s="660">
        <v>15</v>
      </c>
      <c r="S69" s="660">
        <v>8.5</v>
      </c>
      <c r="T69" s="675" t="s">
        <v>127</v>
      </c>
      <c r="V69" s="369" t="s">
        <v>305</v>
      </c>
      <c r="W69" s="657" t="s">
        <v>306</v>
      </c>
      <c r="X69" s="657" t="s">
        <v>307</v>
      </c>
      <c r="Y69" s="657" t="s">
        <v>308</v>
      </c>
      <c r="Z69" s="657" t="s">
        <v>309</v>
      </c>
      <c r="AA69" s="96"/>
      <c r="AB69" s="96"/>
      <c r="AC69" s="81"/>
    </row>
    <row r="70" spans="2:29" ht="15" customHeight="1">
      <c r="B70" s="671" t="s">
        <v>310</v>
      </c>
      <c r="C70" s="676">
        <v>0.56699999999999995</v>
      </c>
      <c r="D70" s="676">
        <v>0.874</v>
      </c>
      <c r="H70" s="826"/>
      <c r="I70" s="673" t="s">
        <v>245</v>
      </c>
      <c r="J70" s="673" t="s">
        <v>217</v>
      </c>
      <c r="K70" s="659" t="s">
        <v>204</v>
      </c>
      <c r="L70" s="659" t="s">
        <v>126</v>
      </c>
      <c r="M70" s="659" t="str">
        <f t="shared" si="1"/>
        <v>Air Source Packaged &lt;5.4 tons Electric Resistance (or None)</v>
      </c>
      <c r="N70" s="660">
        <f t="shared" si="2"/>
        <v>11.760000000000002</v>
      </c>
      <c r="O70" s="674">
        <f t="shared" ref="O70" si="3">$O$68</f>
        <v>14</v>
      </c>
      <c r="P70" s="674">
        <v>8</v>
      </c>
      <c r="Q70" s="660">
        <v>12</v>
      </c>
      <c r="R70" s="660">
        <v>15</v>
      </c>
      <c r="S70" s="660">
        <v>8.1999999999999993</v>
      </c>
      <c r="T70" s="675" t="s">
        <v>127</v>
      </c>
      <c r="V70" s="375" t="s">
        <v>311</v>
      </c>
      <c r="W70" s="662">
        <v>16</v>
      </c>
      <c r="X70" s="662">
        <v>0.1875</v>
      </c>
      <c r="Y70" s="677">
        <v>8631</v>
      </c>
      <c r="Z70" s="678">
        <f>W80</f>
        <v>944</v>
      </c>
      <c r="AA70" s="107"/>
      <c r="AB70" s="107"/>
      <c r="AC70" s="81"/>
    </row>
    <row r="71" spans="2:29" ht="15" customHeight="1">
      <c r="B71" s="671" t="s">
        <v>279</v>
      </c>
      <c r="C71" s="676">
        <v>0.36</v>
      </c>
      <c r="D71" s="676">
        <v>0.58799999999999997</v>
      </c>
      <c r="H71" s="826"/>
      <c r="I71" s="673" t="s">
        <v>245</v>
      </c>
      <c r="J71" s="673" t="s">
        <v>217</v>
      </c>
      <c r="K71" s="659" t="s">
        <v>204</v>
      </c>
      <c r="L71" s="659" t="s">
        <v>133</v>
      </c>
      <c r="M71" s="659" t="str">
        <f t="shared" si="1"/>
        <v>Air Source Packaged &lt;5.4 tons Other</v>
      </c>
      <c r="N71" s="660">
        <f t="shared" si="2"/>
        <v>11.647200000000002</v>
      </c>
      <c r="O71" s="674">
        <v>13.8</v>
      </c>
      <c r="P71" s="674">
        <v>8</v>
      </c>
      <c r="Q71" s="660">
        <v>12</v>
      </c>
      <c r="R71" s="660">
        <v>15</v>
      </c>
      <c r="S71" s="660">
        <v>8.1999999999999993</v>
      </c>
      <c r="T71" s="675" t="s">
        <v>127</v>
      </c>
      <c r="V71" s="375" t="s">
        <v>312</v>
      </c>
      <c r="W71" s="662">
        <v>47</v>
      </c>
      <c r="X71" s="679">
        <v>0.25</v>
      </c>
      <c r="Y71" s="677">
        <v>8284</v>
      </c>
      <c r="Z71" s="678">
        <f>W83+(W71-V83)*(W84-W83)/(V84-V83)</f>
        <v>914.4</v>
      </c>
      <c r="AA71" s="107"/>
      <c r="AB71" s="107"/>
      <c r="AC71" s="81"/>
    </row>
    <row r="72" spans="2:29" ht="14.4">
      <c r="B72" s="658" t="s">
        <v>261</v>
      </c>
      <c r="C72" s="676">
        <v>0.36</v>
      </c>
      <c r="D72" s="676">
        <v>0.58799999999999997</v>
      </c>
      <c r="H72" s="826"/>
      <c r="I72" s="673" t="s">
        <v>245</v>
      </c>
      <c r="J72" s="673" t="s">
        <v>214</v>
      </c>
      <c r="K72" s="659" t="s">
        <v>147</v>
      </c>
      <c r="L72" s="659" t="s">
        <v>126</v>
      </c>
      <c r="M72" s="659" t="str">
        <f t="shared" si="1"/>
        <v>Air Source Split ≥5.4 to &lt;11.25 tons Electric Resistance (or None)</v>
      </c>
      <c r="N72" s="660">
        <v>11</v>
      </c>
      <c r="O72" s="674">
        <v>12</v>
      </c>
      <c r="P72" s="674">
        <v>3.3</v>
      </c>
      <c r="Q72" s="660">
        <v>11.8</v>
      </c>
      <c r="R72" s="660">
        <v>13.6</v>
      </c>
      <c r="S72" s="660">
        <v>3.4</v>
      </c>
      <c r="T72" s="675" t="s">
        <v>127</v>
      </c>
      <c r="V72" s="375" t="s">
        <v>313</v>
      </c>
      <c r="W72" s="662">
        <v>101</v>
      </c>
      <c r="X72" s="679">
        <v>0.25</v>
      </c>
      <c r="Y72" s="677">
        <v>8100</v>
      </c>
      <c r="Z72" s="678">
        <f>W87+(W72-V87)*(W88-W87)/(V88-V87)</f>
        <v>879.52</v>
      </c>
      <c r="AA72" s="107"/>
      <c r="AB72" s="107"/>
      <c r="AC72" s="81"/>
    </row>
    <row r="73" spans="2:29" ht="14.4">
      <c r="B73" s="658" t="s">
        <v>314</v>
      </c>
      <c r="C73" s="676">
        <v>0.36</v>
      </c>
      <c r="D73" s="676">
        <v>0.58799999999999997</v>
      </c>
      <c r="H73" s="826"/>
      <c r="I73" s="673" t="s">
        <v>245</v>
      </c>
      <c r="J73" s="673" t="s">
        <v>214</v>
      </c>
      <c r="K73" s="659" t="s">
        <v>147</v>
      </c>
      <c r="L73" s="659" t="s">
        <v>133</v>
      </c>
      <c r="M73" s="659" t="str">
        <f t="shared" si="1"/>
        <v>Air Source Split ≥5.4 to &lt;11.25 tons Other</v>
      </c>
      <c r="N73" s="660">
        <v>10.8</v>
      </c>
      <c r="O73" s="674">
        <v>11.8</v>
      </c>
      <c r="P73" s="674">
        <v>3.3</v>
      </c>
      <c r="Q73" s="660">
        <v>11.6</v>
      </c>
      <c r="R73" s="660">
        <v>13.4</v>
      </c>
      <c r="S73" s="660">
        <v>3.4</v>
      </c>
      <c r="T73" s="675" t="s">
        <v>127</v>
      </c>
      <c r="V73" s="375" t="s">
        <v>315</v>
      </c>
      <c r="W73" s="662">
        <v>146</v>
      </c>
      <c r="X73" s="679">
        <v>0.25</v>
      </c>
      <c r="Y73" s="677">
        <v>8346</v>
      </c>
      <c r="Z73" s="678">
        <f>W88+(W73-V88)*(W89-W88)/(V89-V88)</f>
        <v>858.76</v>
      </c>
      <c r="AA73" s="107"/>
      <c r="AB73" s="107"/>
      <c r="AC73" s="81"/>
    </row>
    <row r="74" spans="2:29" ht="15" customHeight="1">
      <c r="B74" s="658" t="s">
        <v>316</v>
      </c>
      <c r="C74" s="676">
        <v>0.3</v>
      </c>
      <c r="D74" s="676">
        <v>0.31</v>
      </c>
      <c r="H74" s="826"/>
      <c r="I74" s="673" t="s">
        <v>245</v>
      </c>
      <c r="J74" s="673" t="s">
        <v>217</v>
      </c>
      <c r="K74" s="659" t="s">
        <v>147</v>
      </c>
      <c r="L74" s="659" t="s">
        <v>126</v>
      </c>
      <c r="M74" s="659" t="str">
        <f t="shared" si="1"/>
        <v>Air Source Packaged ≥5.4 to &lt;11.25 tons Electric Resistance (or None)</v>
      </c>
      <c r="N74" s="660">
        <v>11</v>
      </c>
      <c r="O74" s="674">
        <v>12</v>
      </c>
      <c r="P74" s="674">
        <v>3.3</v>
      </c>
      <c r="Q74" s="660">
        <v>11.8</v>
      </c>
      <c r="R74" s="660">
        <v>13.6</v>
      </c>
      <c r="S74" s="660">
        <v>3.4</v>
      </c>
      <c r="T74" s="675" t="s">
        <v>127</v>
      </c>
      <c r="V74" s="375" t="s">
        <v>317</v>
      </c>
      <c r="W74" s="662">
        <v>202</v>
      </c>
      <c r="X74" s="679">
        <v>0.25</v>
      </c>
      <c r="Y74" s="677">
        <v>7788</v>
      </c>
      <c r="Z74" s="678">
        <f>W91+(W74-V91)*(W92-W91)/(V92-V91)</f>
        <v>836.28</v>
      </c>
      <c r="AA74" s="107"/>
      <c r="AB74" s="107"/>
      <c r="AC74" s="81"/>
    </row>
    <row r="75" spans="2:29" ht="15" customHeight="1">
      <c r="B75" s="658" t="s">
        <v>318</v>
      </c>
      <c r="C75" s="676">
        <v>0.66</v>
      </c>
      <c r="D75" s="676">
        <v>0.69</v>
      </c>
      <c r="H75" s="826"/>
      <c r="I75" s="673" t="s">
        <v>245</v>
      </c>
      <c r="J75" s="673" t="s">
        <v>217</v>
      </c>
      <c r="K75" s="659" t="s">
        <v>147</v>
      </c>
      <c r="L75" s="659" t="s">
        <v>133</v>
      </c>
      <c r="M75" s="659" t="str">
        <f t="shared" si="1"/>
        <v>Air Source Packaged ≥5.4 to &lt;11.25 tons Other</v>
      </c>
      <c r="N75" s="660">
        <v>10.8</v>
      </c>
      <c r="O75" s="674">
        <v>11.8</v>
      </c>
      <c r="P75" s="674">
        <v>3.3</v>
      </c>
      <c r="Q75" s="660">
        <v>11.6</v>
      </c>
      <c r="R75" s="660">
        <v>13.4</v>
      </c>
      <c r="S75" s="660">
        <v>3.4</v>
      </c>
      <c r="T75" s="675" t="s">
        <v>127</v>
      </c>
      <c r="V75" s="375" t="s">
        <v>319</v>
      </c>
      <c r="W75" s="662">
        <v>263</v>
      </c>
      <c r="X75" s="679">
        <v>0.25</v>
      </c>
      <c r="Y75" s="677">
        <v>8746</v>
      </c>
      <c r="Z75" s="678">
        <f>W92+(W75-V92)*(W93-W92)/(V93-V92)</f>
        <v>815.84</v>
      </c>
      <c r="AA75" s="107"/>
      <c r="AB75" s="107"/>
      <c r="AC75" s="81"/>
    </row>
    <row r="76" spans="2:29" ht="15" customHeight="1">
      <c r="B76" s="658" t="s">
        <v>254</v>
      </c>
      <c r="C76" s="676">
        <v>0.80800000000000005</v>
      </c>
      <c r="D76" s="676">
        <v>0.92300000000000004</v>
      </c>
      <c r="H76" s="826"/>
      <c r="I76" s="673" t="s">
        <v>245</v>
      </c>
      <c r="J76" s="673" t="s">
        <v>214</v>
      </c>
      <c r="K76" s="659" t="s">
        <v>160</v>
      </c>
      <c r="L76" s="659" t="s">
        <v>126</v>
      </c>
      <c r="M76" s="659" t="str">
        <f t="shared" si="1"/>
        <v>Air Source Split ≥11.25 to &lt;20 tons Electric Resistance (or None)</v>
      </c>
      <c r="N76" s="660">
        <v>10.6</v>
      </c>
      <c r="O76" s="674">
        <v>11.6</v>
      </c>
      <c r="P76" s="674">
        <v>3.2</v>
      </c>
      <c r="Q76" s="660">
        <v>10.9</v>
      </c>
      <c r="R76" s="660">
        <v>12.8</v>
      </c>
      <c r="S76" s="660">
        <v>3.3</v>
      </c>
      <c r="T76" s="675" t="s">
        <v>127</v>
      </c>
      <c r="V76" s="375" t="s">
        <v>320</v>
      </c>
      <c r="W76" s="662" t="s">
        <v>321</v>
      </c>
      <c r="X76" s="662" t="s">
        <v>321</v>
      </c>
      <c r="Y76" s="677">
        <v>8746</v>
      </c>
      <c r="Z76" s="662"/>
      <c r="AA76" s="81"/>
      <c r="AB76" s="81"/>
      <c r="AC76" s="81"/>
    </row>
    <row r="77" spans="2:29" ht="15" customHeight="1">
      <c r="B77" s="14" t="s">
        <v>322</v>
      </c>
      <c r="H77" s="826"/>
      <c r="I77" s="673" t="s">
        <v>245</v>
      </c>
      <c r="J77" s="673" t="s">
        <v>214</v>
      </c>
      <c r="K77" s="659" t="s">
        <v>160</v>
      </c>
      <c r="L77" s="659" t="s">
        <v>133</v>
      </c>
      <c r="M77" s="659" t="str">
        <f t="shared" si="1"/>
        <v>Air Source Split ≥11.25 to &lt;20 tons Other</v>
      </c>
      <c r="N77" s="660">
        <v>10.4</v>
      </c>
      <c r="O77" s="674">
        <v>11.4</v>
      </c>
      <c r="P77" s="674">
        <v>3.2</v>
      </c>
      <c r="Q77" s="660">
        <v>10.7</v>
      </c>
      <c r="R77" s="660">
        <v>12.6</v>
      </c>
      <c r="S77" s="660">
        <v>3.3</v>
      </c>
      <c r="T77" s="675" t="s">
        <v>127</v>
      </c>
      <c r="V77" s="100" t="s">
        <v>323</v>
      </c>
      <c r="W77" s="81"/>
      <c r="X77" s="81"/>
      <c r="Y77" s="81"/>
      <c r="Z77" s="81"/>
      <c r="AA77" s="81"/>
      <c r="AB77" s="81"/>
      <c r="AC77" s="81"/>
    </row>
    <row r="78" spans="2:29" ht="15" customHeight="1">
      <c r="H78" s="826"/>
      <c r="I78" s="673" t="s">
        <v>245</v>
      </c>
      <c r="J78" s="673" t="s">
        <v>217</v>
      </c>
      <c r="K78" s="659" t="s">
        <v>160</v>
      </c>
      <c r="L78" s="659" t="s">
        <v>126</v>
      </c>
      <c r="M78" s="659" t="str">
        <f t="shared" si="1"/>
        <v>Air Source Packaged ≥11.25 to &lt;20 tons Electric Resistance (or None)</v>
      </c>
      <c r="N78" s="660">
        <v>10.6</v>
      </c>
      <c r="O78" s="674">
        <v>11.6</v>
      </c>
      <c r="P78" s="674">
        <v>3.2</v>
      </c>
      <c r="Q78" s="660">
        <v>10.9</v>
      </c>
      <c r="R78" s="660">
        <v>12.8</v>
      </c>
      <c r="S78" s="660">
        <v>3.3</v>
      </c>
      <c r="T78" s="675" t="s">
        <v>127</v>
      </c>
      <c r="V78" s="81"/>
      <c r="W78" s="81"/>
      <c r="X78" s="81"/>
      <c r="Y78" s="81"/>
      <c r="Z78" s="81"/>
      <c r="AA78" s="81"/>
      <c r="AB78" s="81"/>
      <c r="AC78" s="81"/>
    </row>
    <row r="79" spans="2:29">
      <c r="H79" s="826"/>
      <c r="I79" s="673" t="s">
        <v>245</v>
      </c>
      <c r="J79" s="673" t="s">
        <v>217</v>
      </c>
      <c r="K79" s="659" t="s">
        <v>160</v>
      </c>
      <c r="L79" s="659" t="s">
        <v>133</v>
      </c>
      <c r="M79" s="659" t="str">
        <f t="shared" si="1"/>
        <v>Air Source Packaged ≥11.25 to &lt;20 tons Other</v>
      </c>
      <c r="N79" s="660">
        <v>10.4</v>
      </c>
      <c r="O79" s="674">
        <v>11.4</v>
      </c>
      <c r="P79" s="674">
        <v>3.2</v>
      </c>
      <c r="Q79" s="660">
        <v>10.7</v>
      </c>
      <c r="R79" s="660">
        <v>12.6</v>
      </c>
      <c r="S79" s="660">
        <v>3.3</v>
      </c>
      <c r="T79" s="675" t="s">
        <v>127</v>
      </c>
      <c r="V79" s="369" t="s">
        <v>324</v>
      </c>
      <c r="W79" s="657" t="s">
        <v>325</v>
      </c>
      <c r="X79" s="81"/>
      <c r="Y79" s="81"/>
      <c r="Z79" s="81"/>
      <c r="AA79" s="81"/>
      <c r="AB79" s="81"/>
      <c r="AC79" s="81"/>
    </row>
    <row r="80" spans="2:29">
      <c r="H80" s="826"/>
      <c r="I80" s="673" t="s">
        <v>245</v>
      </c>
      <c r="J80" s="673" t="s">
        <v>214</v>
      </c>
      <c r="K80" s="659" t="s">
        <v>184</v>
      </c>
      <c r="L80" s="659" t="s">
        <v>126</v>
      </c>
      <c r="M80" s="659" t="str">
        <f t="shared" si="1"/>
        <v>Air Source Split ≥20 to &lt;63.3 tons Electric Resistance (or None)</v>
      </c>
      <c r="N80" s="660">
        <v>9.5</v>
      </c>
      <c r="O80" s="674">
        <v>10.6</v>
      </c>
      <c r="P80" s="674">
        <v>3.2</v>
      </c>
      <c r="Q80" s="660">
        <v>10.3</v>
      </c>
      <c r="R80" s="660">
        <v>11.8</v>
      </c>
      <c r="S80" s="660">
        <v>3.3</v>
      </c>
      <c r="T80" s="675" t="s">
        <v>127</v>
      </c>
      <c r="V80" s="375">
        <v>16</v>
      </c>
      <c r="W80" s="662">
        <v>944</v>
      </c>
      <c r="X80" s="81"/>
      <c r="Y80" s="81"/>
      <c r="Z80" s="81"/>
      <c r="AA80" s="81"/>
      <c r="AB80" s="81"/>
      <c r="AC80" s="81"/>
    </row>
    <row r="81" spans="2:29">
      <c r="H81" s="826"/>
      <c r="I81" s="673" t="s">
        <v>245</v>
      </c>
      <c r="J81" s="673" t="s">
        <v>214</v>
      </c>
      <c r="K81" s="659" t="s">
        <v>184</v>
      </c>
      <c r="L81" s="659" t="s">
        <v>133</v>
      </c>
      <c r="M81" s="659" t="str">
        <f t="shared" si="1"/>
        <v>Air Source Split ≥20 to &lt;63.3 tons Other</v>
      </c>
      <c r="N81" s="660">
        <v>9.3000000000000007</v>
      </c>
      <c r="O81" s="674">
        <v>10.4</v>
      </c>
      <c r="P81" s="674">
        <v>3.2</v>
      </c>
      <c r="Q81" s="660">
        <v>10.1</v>
      </c>
      <c r="R81" s="660">
        <v>11.6</v>
      </c>
      <c r="S81" s="660">
        <v>3.3</v>
      </c>
      <c r="T81" s="675" t="s">
        <v>127</v>
      </c>
      <c r="V81" s="375">
        <v>20</v>
      </c>
      <c r="W81" s="662">
        <v>939</v>
      </c>
      <c r="X81" s="81"/>
      <c r="Y81" s="81"/>
      <c r="Z81" s="81"/>
      <c r="AA81" s="81"/>
      <c r="AB81" s="81"/>
      <c r="AC81" s="81"/>
    </row>
    <row r="82" spans="2:29">
      <c r="H82" s="826"/>
      <c r="I82" s="673" t="s">
        <v>245</v>
      </c>
      <c r="J82" s="673" t="s">
        <v>217</v>
      </c>
      <c r="K82" s="659" t="s">
        <v>184</v>
      </c>
      <c r="L82" s="659" t="s">
        <v>126</v>
      </c>
      <c r="M82" s="659" t="str">
        <f t="shared" si="1"/>
        <v>Air Source Packaged ≥20 to &lt;63.3 tons Electric Resistance (or None)</v>
      </c>
      <c r="N82" s="660">
        <v>9.5</v>
      </c>
      <c r="O82" s="674">
        <v>10.6</v>
      </c>
      <c r="P82" s="674">
        <v>3.2</v>
      </c>
      <c r="Q82" s="660">
        <v>10.3</v>
      </c>
      <c r="R82" s="660">
        <v>11.8</v>
      </c>
      <c r="S82" s="660">
        <v>3.3</v>
      </c>
      <c r="T82" s="675" t="s">
        <v>127</v>
      </c>
      <c r="V82" s="375">
        <v>30</v>
      </c>
      <c r="W82" s="662">
        <v>929</v>
      </c>
      <c r="X82" s="81"/>
      <c r="Y82" s="81"/>
      <c r="Z82" s="81"/>
      <c r="AA82" s="81"/>
      <c r="AB82" s="81"/>
      <c r="AC82" s="81"/>
    </row>
    <row r="83" spans="2:29" ht="14.4">
      <c r="E83"/>
      <c r="F83"/>
      <c r="H83" s="826"/>
      <c r="I83" s="673" t="s">
        <v>245</v>
      </c>
      <c r="J83" s="673" t="s">
        <v>217</v>
      </c>
      <c r="K83" s="659" t="s">
        <v>184</v>
      </c>
      <c r="L83" s="659" t="s">
        <v>133</v>
      </c>
      <c r="M83" s="659" t="str">
        <f t="shared" si="1"/>
        <v>Air Source Packaged ≥20 to &lt;63.3 tons Other</v>
      </c>
      <c r="N83" s="660">
        <v>9.3000000000000007</v>
      </c>
      <c r="O83" s="674">
        <v>10.4</v>
      </c>
      <c r="P83" s="674">
        <v>3.2</v>
      </c>
      <c r="Q83" s="660">
        <v>10.1</v>
      </c>
      <c r="R83" s="660">
        <v>11.6</v>
      </c>
      <c r="S83" s="660">
        <v>3.3</v>
      </c>
      <c r="T83" s="675" t="s">
        <v>127</v>
      </c>
      <c r="V83" s="375">
        <v>40</v>
      </c>
      <c r="W83" s="662">
        <v>920</v>
      </c>
      <c r="X83" s="81"/>
      <c r="Y83" s="81"/>
      <c r="Z83" s="81"/>
      <c r="AA83" s="81"/>
      <c r="AB83" s="81"/>
      <c r="AC83" s="81"/>
    </row>
    <row r="84" spans="2:29" ht="14.4">
      <c r="E84"/>
      <c r="F84"/>
      <c r="H84" s="826"/>
      <c r="I84" s="680"/>
      <c r="J84" s="399"/>
      <c r="K84" s="399"/>
      <c r="L84" s="399"/>
      <c r="M84" s="399"/>
      <c r="N84" s="399"/>
      <c r="O84" s="399"/>
      <c r="P84" s="399"/>
      <c r="Q84" s="399"/>
      <c r="R84" s="399"/>
      <c r="S84" s="399"/>
      <c r="T84" s="399"/>
      <c r="V84" s="375">
        <v>50</v>
      </c>
      <c r="W84" s="662">
        <v>912</v>
      </c>
      <c r="X84" s="81"/>
      <c r="Y84" s="81"/>
      <c r="Z84" s="81"/>
      <c r="AA84" s="81"/>
      <c r="AB84" s="81"/>
      <c r="AC84" s="81"/>
    </row>
    <row r="85" spans="2:29" ht="14.4">
      <c r="E85"/>
      <c r="F85"/>
      <c r="H85" s="827"/>
      <c r="I85" s="673" t="s">
        <v>330</v>
      </c>
      <c r="J85" s="673" t="s">
        <v>331</v>
      </c>
      <c r="K85" s="681" t="s">
        <v>204</v>
      </c>
      <c r="L85" s="673" t="s">
        <v>332</v>
      </c>
      <c r="M85" s="681" t="str">
        <f t="shared" ref="M85" si="4">_xlfn.CONCAT(I85," ",J85," ",K85)</f>
        <v>Mini-Split Heat Pump &lt;5.4 tons</v>
      </c>
      <c r="N85" s="682">
        <f>N68</f>
        <v>11.760000000000002</v>
      </c>
      <c r="O85" s="674">
        <f>O68</f>
        <v>14</v>
      </c>
      <c r="P85" s="683">
        <f>P68</f>
        <v>8.1999999999999993</v>
      </c>
      <c r="Q85" s="682">
        <v>12</v>
      </c>
      <c r="R85" s="682">
        <v>15</v>
      </c>
      <c r="S85" s="682">
        <v>8.5</v>
      </c>
      <c r="T85" s="684" t="s">
        <v>333</v>
      </c>
      <c r="V85" s="375">
        <v>60</v>
      </c>
      <c r="W85" s="662">
        <v>906</v>
      </c>
      <c r="X85" s="81"/>
      <c r="Y85" s="81"/>
      <c r="Z85" s="81"/>
      <c r="AA85" s="81"/>
      <c r="AB85" s="81"/>
      <c r="AC85" s="81"/>
    </row>
    <row r="86" spans="2:29" ht="15" customHeight="1">
      <c r="E86"/>
      <c r="F86"/>
      <c r="H86" s="12"/>
      <c r="I86" s="12"/>
      <c r="J86" s="12"/>
      <c r="K86" s="12"/>
      <c r="L86" s="12"/>
      <c r="M86" s="12"/>
      <c r="N86" s="12"/>
      <c r="O86" s="12"/>
      <c r="P86" s="12"/>
      <c r="Q86" s="12"/>
      <c r="R86" s="12"/>
      <c r="S86" s="12"/>
      <c r="V86" s="375">
        <v>75</v>
      </c>
      <c r="W86" s="662">
        <v>895</v>
      </c>
      <c r="X86" s="81"/>
      <c r="Y86" s="81"/>
      <c r="Z86" s="81"/>
      <c r="AA86" s="81"/>
      <c r="AB86" s="81"/>
      <c r="AC86" s="81"/>
    </row>
    <row r="87" spans="2:29" ht="14.4">
      <c r="E87"/>
      <c r="F87"/>
      <c r="H87" s="12"/>
      <c r="I87" s="12"/>
      <c r="J87" s="12"/>
      <c r="K87" s="12"/>
      <c r="L87" s="12"/>
      <c r="M87" s="12"/>
      <c r="N87" s="12"/>
      <c r="O87" s="12"/>
      <c r="P87" s="12"/>
      <c r="Q87" s="12"/>
      <c r="S87" s="12"/>
      <c r="V87" s="375">
        <v>100</v>
      </c>
      <c r="W87" s="662">
        <v>880</v>
      </c>
      <c r="X87" s="81"/>
      <c r="Y87" s="81"/>
      <c r="Z87" s="81"/>
      <c r="AA87" s="81"/>
      <c r="AB87" s="81"/>
      <c r="AC87" s="81"/>
    </row>
    <row r="88" spans="2:29" ht="14.4">
      <c r="B88"/>
      <c r="D88"/>
      <c r="E88"/>
      <c r="F88"/>
      <c r="H88" s="1039" t="s">
        <v>98</v>
      </c>
      <c r="I88" s="1039" t="s">
        <v>292</v>
      </c>
      <c r="J88" s="1039" t="s">
        <v>334</v>
      </c>
      <c r="K88" s="1039" t="s">
        <v>293</v>
      </c>
      <c r="L88" s="1039" t="s">
        <v>294</v>
      </c>
      <c r="M88" s="1039" t="s">
        <v>295</v>
      </c>
      <c r="N88" s="1038" t="s">
        <v>335</v>
      </c>
      <c r="O88" s="1038" t="s">
        <v>336</v>
      </c>
      <c r="P88" s="1038" t="s">
        <v>337</v>
      </c>
      <c r="Q88" s="1038" t="s">
        <v>338</v>
      </c>
      <c r="R88" s="1038" t="s">
        <v>108</v>
      </c>
      <c r="S88" s="1038"/>
      <c r="V88" s="375">
        <v>125</v>
      </c>
      <c r="W88" s="662">
        <v>868</v>
      </c>
      <c r="X88" s="81"/>
      <c r="Y88" s="81"/>
      <c r="Z88" s="81"/>
      <c r="AA88" s="81"/>
      <c r="AB88" s="81"/>
      <c r="AC88" s="81"/>
    </row>
    <row r="89" spans="2:29" ht="14.4">
      <c r="B89" s="828" t="s">
        <v>109</v>
      </c>
      <c r="C89" s="828"/>
      <c r="D89" s="828"/>
      <c r="E89"/>
      <c r="F89"/>
      <c r="H89" s="1039"/>
      <c r="I89" s="1039"/>
      <c r="J89" s="1039"/>
      <c r="K89" s="1039"/>
      <c r="L89" s="1039"/>
      <c r="M89" s="1039"/>
      <c r="N89" s="1038"/>
      <c r="O89" s="1038"/>
      <c r="P89" s="1038"/>
      <c r="Q89" s="1038"/>
      <c r="R89" s="1038"/>
      <c r="S89" s="1038"/>
      <c r="V89" s="375">
        <v>150</v>
      </c>
      <c r="W89" s="662">
        <v>857</v>
      </c>
      <c r="X89" s="81"/>
      <c r="Y89" s="81"/>
      <c r="Z89" s="81"/>
      <c r="AA89" s="81"/>
      <c r="AB89" s="81"/>
      <c r="AC89" s="81"/>
    </row>
    <row r="90" spans="2:29" ht="14.4">
      <c r="B90" s="685" t="s">
        <v>115</v>
      </c>
      <c r="C90" s="685" t="s">
        <v>116</v>
      </c>
      <c r="D90" s="685" t="s">
        <v>117</v>
      </c>
      <c r="E90"/>
      <c r="F90"/>
      <c r="H90" s="1047" t="s">
        <v>254</v>
      </c>
      <c r="I90" s="686" t="s">
        <v>232</v>
      </c>
      <c r="J90" s="686" t="s">
        <v>177</v>
      </c>
      <c r="K90" s="686" t="s">
        <v>339</v>
      </c>
      <c r="L90" s="686" t="s">
        <v>332</v>
      </c>
      <c r="M90" s="659" t="str">
        <f t="shared" ref="M90:M113" si="5">_xlfn.CONCAT(I90," ",J90," ",K90)</f>
        <v>Air Cooled Path A &lt;150 tons</v>
      </c>
      <c r="N90" s="686">
        <v>10.1</v>
      </c>
      <c r="O90" s="686">
        <v>13.7</v>
      </c>
      <c r="P90" s="686">
        <v>10.605</v>
      </c>
      <c r="Q90" s="686">
        <v>14.385</v>
      </c>
      <c r="R90" s="1046" t="s">
        <v>127</v>
      </c>
      <c r="S90" s="1046"/>
      <c r="V90" s="375">
        <v>175</v>
      </c>
      <c r="W90" s="662">
        <v>847</v>
      </c>
      <c r="X90" s="81"/>
      <c r="Y90" s="81"/>
      <c r="Z90" s="81"/>
      <c r="AA90" s="81"/>
      <c r="AB90" s="81"/>
      <c r="AC90" s="81"/>
    </row>
    <row r="91" spans="2:29" ht="14.4">
      <c r="B91" s="20" t="s">
        <v>128</v>
      </c>
      <c r="C91" s="21">
        <v>1114</v>
      </c>
      <c r="D91" s="21">
        <v>1150</v>
      </c>
      <c r="E91"/>
      <c r="F91"/>
      <c r="H91" s="1047"/>
      <c r="I91" s="686" t="s">
        <v>232</v>
      </c>
      <c r="J91" s="686" t="s">
        <v>177</v>
      </c>
      <c r="K91" s="686" t="s">
        <v>340</v>
      </c>
      <c r="L91" s="686" t="s">
        <v>332</v>
      </c>
      <c r="M91" s="659" t="str">
        <f t="shared" si="5"/>
        <v>Air Cooled Path A ≥150 tons</v>
      </c>
      <c r="N91" s="686">
        <v>10.1</v>
      </c>
      <c r="O91" s="686">
        <v>14</v>
      </c>
      <c r="P91" s="686">
        <v>10.605</v>
      </c>
      <c r="Q91" s="686">
        <v>14.7</v>
      </c>
      <c r="R91" s="1046" t="s">
        <v>127</v>
      </c>
      <c r="S91" s="1046"/>
      <c r="V91" s="375">
        <v>200</v>
      </c>
      <c r="W91" s="662">
        <v>837</v>
      </c>
      <c r="X91" s="81"/>
      <c r="Y91" s="81"/>
      <c r="Z91" s="81"/>
      <c r="AA91" s="81"/>
      <c r="AB91" s="81"/>
      <c r="AC91" s="81"/>
    </row>
    <row r="92" spans="2:29" ht="15" customHeight="1">
      <c r="B92" s="687" t="s">
        <v>134</v>
      </c>
      <c r="C92" s="687">
        <v>713</v>
      </c>
      <c r="D92" s="687">
        <v>736</v>
      </c>
      <c r="E92"/>
      <c r="F92"/>
      <c r="H92" s="1047"/>
      <c r="I92" s="686" t="s">
        <v>232</v>
      </c>
      <c r="J92" s="686" t="s">
        <v>182</v>
      </c>
      <c r="K92" s="686" t="s">
        <v>339</v>
      </c>
      <c r="L92" s="686" t="s">
        <v>332</v>
      </c>
      <c r="M92" s="659" t="str">
        <f t="shared" si="5"/>
        <v>Air Cooled Path B &lt;150 tons</v>
      </c>
      <c r="N92" s="686">
        <v>9.6999999999999993</v>
      </c>
      <c r="O92" s="686">
        <v>15.8</v>
      </c>
      <c r="P92" s="686">
        <v>10.185</v>
      </c>
      <c r="Q92" s="686">
        <v>16.59</v>
      </c>
      <c r="R92" s="1046" t="s">
        <v>127</v>
      </c>
      <c r="S92" s="1046"/>
      <c r="V92" s="375">
        <v>225</v>
      </c>
      <c r="W92" s="662">
        <v>828</v>
      </c>
      <c r="X92" s="81"/>
      <c r="Y92" s="81"/>
      <c r="Z92" s="81"/>
      <c r="AA92" s="81"/>
      <c r="AB92" s="81"/>
      <c r="AC92" s="81"/>
    </row>
    <row r="93" spans="2:29" ht="15" customHeight="1">
      <c r="B93" s="687" t="s">
        <v>139</v>
      </c>
      <c r="C93" s="687">
        <v>668</v>
      </c>
      <c r="D93" s="687">
        <v>689</v>
      </c>
      <c r="E93"/>
      <c r="F93"/>
      <c r="H93" s="1047"/>
      <c r="I93" s="686" t="s">
        <v>232</v>
      </c>
      <c r="J93" s="686" t="s">
        <v>182</v>
      </c>
      <c r="K93" s="686" t="s">
        <v>340</v>
      </c>
      <c r="L93" s="686" t="s">
        <v>332</v>
      </c>
      <c r="M93" s="659" t="str">
        <f t="shared" si="5"/>
        <v>Air Cooled Path B ≥150 tons</v>
      </c>
      <c r="N93" s="686">
        <v>9.6999999999999993</v>
      </c>
      <c r="O93" s="686">
        <v>16.100000000000001</v>
      </c>
      <c r="P93" s="686">
        <v>10.185</v>
      </c>
      <c r="Q93" s="686">
        <v>16.905000000000001</v>
      </c>
      <c r="R93" s="1046" t="s">
        <v>127</v>
      </c>
      <c r="S93" s="1046"/>
      <c r="V93" s="375">
        <v>250</v>
      </c>
      <c r="W93" s="662">
        <v>820</v>
      </c>
      <c r="X93" s="81"/>
      <c r="Y93" s="81"/>
      <c r="Z93" s="81"/>
      <c r="AA93" s="81"/>
      <c r="AB93" s="81"/>
      <c r="AC93" s="81"/>
    </row>
    <row r="94" spans="2:29" ht="14.25" customHeight="1">
      <c r="B94" s="687" t="s">
        <v>143</v>
      </c>
      <c r="C94" s="687">
        <v>647</v>
      </c>
      <c r="D94" s="687">
        <v>668</v>
      </c>
      <c r="H94" s="1047"/>
      <c r="I94" s="686" t="s">
        <v>260</v>
      </c>
      <c r="J94" s="686" t="s">
        <v>177</v>
      </c>
      <c r="K94" s="686" t="s">
        <v>341</v>
      </c>
      <c r="L94" s="686" t="s">
        <v>332</v>
      </c>
      <c r="M94" s="659" t="str">
        <f t="shared" si="5"/>
        <v>Water Cooled, Positive Displacement Path A &lt;75 tons</v>
      </c>
      <c r="N94" s="686">
        <v>0.75</v>
      </c>
      <c r="O94" s="686">
        <v>0.6</v>
      </c>
      <c r="P94" s="686">
        <v>0.71299999999999997</v>
      </c>
      <c r="Q94" s="686">
        <v>0.56999999999999995</v>
      </c>
      <c r="R94" s="1046" t="s">
        <v>127</v>
      </c>
      <c r="S94" s="1046"/>
      <c r="V94" s="100" t="s">
        <v>323</v>
      </c>
      <c r="W94" s="81"/>
      <c r="X94" s="81"/>
      <c r="Y94" s="81"/>
      <c r="Z94" s="81"/>
      <c r="AA94" s="81"/>
      <c r="AB94" s="81"/>
      <c r="AC94" s="81"/>
    </row>
    <row r="95" spans="2:29" ht="14.25" customHeight="1">
      <c r="B95" s="687" t="s">
        <v>148</v>
      </c>
      <c r="C95" s="687">
        <v>719</v>
      </c>
      <c r="D95" s="687">
        <v>742</v>
      </c>
      <c r="H95" s="1047"/>
      <c r="I95" s="686" t="s">
        <v>260</v>
      </c>
      <c r="J95" s="686" t="s">
        <v>177</v>
      </c>
      <c r="K95" s="686" t="s">
        <v>342</v>
      </c>
      <c r="L95" s="686" t="s">
        <v>332</v>
      </c>
      <c r="M95" s="659" t="str">
        <f t="shared" si="5"/>
        <v>Water Cooled, Positive Displacement Path A ≥75 to &lt;150 tons</v>
      </c>
      <c r="N95" s="686">
        <v>0.72</v>
      </c>
      <c r="O95" s="686">
        <v>0.56000000000000005</v>
      </c>
      <c r="P95" s="686">
        <v>0.68400000000000005</v>
      </c>
      <c r="Q95" s="686">
        <v>0.53200000000000003</v>
      </c>
      <c r="R95" s="1046" t="s">
        <v>127</v>
      </c>
      <c r="S95" s="1046"/>
      <c r="V95" s="81"/>
      <c r="W95" s="81"/>
      <c r="X95" s="81"/>
      <c r="Y95" s="81"/>
      <c r="Z95" s="81"/>
      <c r="AA95" s="81"/>
      <c r="AB95" s="81"/>
      <c r="AC95" s="81"/>
    </row>
    <row r="96" spans="2:29" ht="14.25" customHeight="1">
      <c r="B96" s="687" t="s">
        <v>151</v>
      </c>
      <c r="C96" s="687">
        <v>530</v>
      </c>
      <c r="D96" s="687">
        <v>546</v>
      </c>
      <c r="H96" s="1047"/>
      <c r="I96" s="686" t="s">
        <v>260</v>
      </c>
      <c r="J96" s="686" t="s">
        <v>177</v>
      </c>
      <c r="K96" s="686" t="s">
        <v>343</v>
      </c>
      <c r="L96" s="686" t="s">
        <v>332</v>
      </c>
      <c r="M96" s="659" t="str">
        <f t="shared" si="5"/>
        <v>Water Cooled, Positive Displacement Path A ≥150 to &lt;300 tons</v>
      </c>
      <c r="N96" s="686">
        <v>0.66</v>
      </c>
      <c r="O96" s="686">
        <v>0.54</v>
      </c>
      <c r="P96" s="686">
        <f t="shared" ref="P96:Q96" si="6">ROUND(N96*0.95,3)</f>
        <v>0.627</v>
      </c>
      <c r="Q96" s="686">
        <f t="shared" si="6"/>
        <v>0.51300000000000001</v>
      </c>
      <c r="R96" s="1046" t="s">
        <v>127</v>
      </c>
      <c r="S96" s="1046"/>
      <c r="V96" s="108" t="s">
        <v>344</v>
      </c>
      <c r="W96" s="108"/>
      <c r="X96" s="81"/>
      <c r="Y96" s="108"/>
      <c r="Z96" s="108"/>
      <c r="AA96" s="108"/>
      <c r="AB96" s="108"/>
      <c r="AC96" s="81"/>
    </row>
    <row r="97" spans="2:29" ht="14.25" customHeight="1">
      <c r="B97" s="687" t="s">
        <v>156</v>
      </c>
      <c r="C97" s="687">
        <v>984</v>
      </c>
      <c r="D97" s="688">
        <v>1015</v>
      </c>
      <c r="H97" s="1047"/>
      <c r="I97" s="686" t="s">
        <v>260</v>
      </c>
      <c r="J97" s="686" t="s">
        <v>177</v>
      </c>
      <c r="K97" s="686" t="s">
        <v>345</v>
      </c>
      <c r="L97" s="686" t="s">
        <v>332</v>
      </c>
      <c r="M97" s="659" t="str">
        <f t="shared" si="5"/>
        <v>Water Cooled, Positive Displacement Path A ≥300 to &lt;600 tons</v>
      </c>
      <c r="N97" s="686">
        <v>0.61</v>
      </c>
      <c r="O97" s="686">
        <v>0.52</v>
      </c>
      <c r="P97" s="686">
        <v>0.57999999999999996</v>
      </c>
      <c r="Q97" s="686">
        <v>0.49399999999999999</v>
      </c>
      <c r="R97" s="1046" t="s">
        <v>127</v>
      </c>
      <c r="S97" s="1046"/>
      <c r="V97" s="108" t="s">
        <v>346</v>
      </c>
      <c r="W97" s="108"/>
      <c r="X97" s="81"/>
      <c r="Y97" s="108"/>
      <c r="Z97" s="108"/>
      <c r="AA97" s="108"/>
      <c r="AB97" s="108"/>
      <c r="AC97" s="81"/>
    </row>
    <row r="98" spans="2:29" ht="14.25" customHeight="1">
      <c r="B98" s="687" t="s">
        <v>157</v>
      </c>
      <c r="C98" s="687">
        <v>214</v>
      </c>
      <c r="D98" s="687">
        <v>221</v>
      </c>
      <c r="H98" s="1047"/>
      <c r="I98" s="686" t="s">
        <v>260</v>
      </c>
      <c r="J98" s="686" t="s">
        <v>177</v>
      </c>
      <c r="K98" s="686" t="s">
        <v>347</v>
      </c>
      <c r="L98" s="686" t="s">
        <v>332</v>
      </c>
      <c r="M98" s="659" t="str">
        <f t="shared" si="5"/>
        <v>Water Cooled, Positive Displacement Path A ≥600 tons</v>
      </c>
      <c r="N98" s="686">
        <v>0.56000000000000005</v>
      </c>
      <c r="O98" s="686">
        <v>0.5</v>
      </c>
      <c r="P98" s="686">
        <v>0.53200000000000003</v>
      </c>
      <c r="Q98" s="686">
        <v>0.47499999999999998</v>
      </c>
      <c r="R98" s="1046" t="s">
        <v>127</v>
      </c>
      <c r="S98" s="1046"/>
      <c r="V98" s="108" t="s">
        <v>273</v>
      </c>
      <c r="W98" s="108"/>
      <c r="X98" s="81"/>
      <c r="Y98" s="108"/>
      <c r="Z98" s="108"/>
      <c r="AA98" s="108"/>
      <c r="AB98" s="108"/>
      <c r="AC98" s="81"/>
    </row>
    <row r="99" spans="2:29" ht="14.25" customHeight="1">
      <c r="B99" s="687" t="s">
        <v>161</v>
      </c>
      <c r="C99" s="687">
        <v>932</v>
      </c>
      <c r="D99" s="687">
        <v>962</v>
      </c>
      <c r="H99" s="1047"/>
      <c r="I99" s="686" t="s">
        <v>260</v>
      </c>
      <c r="J99" s="686" t="s">
        <v>182</v>
      </c>
      <c r="K99" s="686" t="s">
        <v>341</v>
      </c>
      <c r="L99" s="686" t="s">
        <v>332</v>
      </c>
      <c r="M99" s="659" t="str">
        <f t="shared" si="5"/>
        <v>Water Cooled, Positive Displacement Path B &lt;75 tons</v>
      </c>
      <c r="N99" s="686">
        <v>0.78</v>
      </c>
      <c r="O99" s="686">
        <v>0.5</v>
      </c>
      <c r="P99" s="686">
        <v>0.74099999999999999</v>
      </c>
      <c r="Q99" s="686">
        <v>0.47499999999999998</v>
      </c>
      <c r="R99" s="1046" t="s">
        <v>127</v>
      </c>
      <c r="S99" s="1046"/>
      <c r="V99" s="108" t="s">
        <v>271</v>
      </c>
      <c r="W99" s="108"/>
      <c r="X99" s="81"/>
      <c r="Y99" s="108"/>
      <c r="Z99" s="108"/>
      <c r="AA99" s="108"/>
      <c r="AB99" s="108"/>
      <c r="AC99" s="81"/>
    </row>
    <row r="100" spans="2:29" ht="14.25" customHeight="1">
      <c r="B100" s="687" t="s">
        <v>165</v>
      </c>
      <c r="C100" s="688">
        <v>2242</v>
      </c>
      <c r="D100" s="688">
        <v>2313</v>
      </c>
      <c r="H100" s="1047"/>
      <c r="I100" s="686" t="s">
        <v>260</v>
      </c>
      <c r="J100" s="686" t="s">
        <v>182</v>
      </c>
      <c r="K100" s="686" t="s">
        <v>342</v>
      </c>
      <c r="L100" s="686" t="s">
        <v>332</v>
      </c>
      <c r="M100" s="659" t="str">
        <f t="shared" si="5"/>
        <v>Water Cooled, Positive Displacement Path B ≥75 to &lt;150 tons</v>
      </c>
      <c r="N100" s="686">
        <v>0.75</v>
      </c>
      <c r="O100" s="686">
        <v>0.49</v>
      </c>
      <c r="P100" s="686">
        <v>0.71299999999999997</v>
      </c>
      <c r="Q100" s="686">
        <v>0.46600000000000003</v>
      </c>
      <c r="R100" s="1046" t="s">
        <v>127</v>
      </c>
      <c r="S100" s="1046"/>
      <c r="V100" s="108"/>
      <c r="W100" s="108"/>
      <c r="X100" s="81"/>
      <c r="Y100" s="108"/>
      <c r="Z100" s="108"/>
      <c r="AA100" s="108"/>
      <c r="AB100" s="108"/>
      <c r="AC100" s="81"/>
    </row>
    <row r="101" spans="2:29" ht="14.25" customHeight="1">
      <c r="B101" s="687" t="s">
        <v>168</v>
      </c>
      <c r="C101" s="687">
        <v>146</v>
      </c>
      <c r="D101" s="687">
        <v>151</v>
      </c>
      <c r="H101" s="1047"/>
      <c r="I101" s="686" t="s">
        <v>260</v>
      </c>
      <c r="J101" s="686" t="s">
        <v>182</v>
      </c>
      <c r="K101" s="686" t="s">
        <v>343</v>
      </c>
      <c r="L101" s="686" t="s">
        <v>332</v>
      </c>
      <c r="M101" s="659" t="str">
        <f t="shared" si="5"/>
        <v>Water Cooled, Positive Displacement Path B ≥150 to &lt;300 tons</v>
      </c>
      <c r="N101" s="686">
        <v>0.68</v>
      </c>
      <c r="O101" s="686">
        <v>0.44</v>
      </c>
      <c r="P101" s="686">
        <f t="shared" ref="P101:Q101" si="7">ROUND(N101*0.95,3)</f>
        <v>0.64600000000000002</v>
      </c>
      <c r="Q101" s="686">
        <f t="shared" si="7"/>
        <v>0.41799999999999998</v>
      </c>
      <c r="R101" s="1046" t="s">
        <v>127</v>
      </c>
      <c r="S101" s="1046"/>
      <c r="V101" s="108" t="s">
        <v>348</v>
      </c>
      <c r="W101" s="108"/>
      <c r="X101" s="81"/>
      <c r="Y101" s="108"/>
      <c r="Z101" s="108"/>
      <c r="AA101" s="108"/>
      <c r="AB101" s="108"/>
      <c r="AC101" s="81"/>
    </row>
    <row r="102" spans="2:29" ht="14.25" customHeight="1">
      <c r="B102" s="687" t="s">
        <v>171</v>
      </c>
      <c r="C102" s="687">
        <v>585</v>
      </c>
      <c r="D102" s="687">
        <v>603</v>
      </c>
      <c r="H102" s="1047"/>
      <c r="I102" s="686" t="s">
        <v>260</v>
      </c>
      <c r="J102" s="686" t="s">
        <v>182</v>
      </c>
      <c r="K102" s="686" t="s">
        <v>345</v>
      </c>
      <c r="L102" s="686" t="s">
        <v>332</v>
      </c>
      <c r="M102" s="659" t="str">
        <f t="shared" si="5"/>
        <v>Water Cooled, Positive Displacement Path B ≥300 to &lt;600 tons</v>
      </c>
      <c r="N102" s="686">
        <v>0.625</v>
      </c>
      <c r="O102" s="686">
        <v>0.41</v>
      </c>
      <c r="P102" s="686">
        <v>0.59399999999999997</v>
      </c>
      <c r="Q102" s="686">
        <v>0.39</v>
      </c>
      <c r="R102" s="1046" t="s">
        <v>127</v>
      </c>
      <c r="S102" s="1046"/>
      <c r="V102" s="108" t="s">
        <v>349</v>
      </c>
      <c r="W102" s="108"/>
      <c r="X102" s="81"/>
      <c r="Y102" s="108"/>
      <c r="Z102" s="108"/>
      <c r="AA102" s="108"/>
      <c r="AB102" s="108"/>
      <c r="AC102" s="81"/>
    </row>
    <row r="103" spans="2:29" ht="14.25" customHeight="1">
      <c r="B103" s="687" t="s">
        <v>175</v>
      </c>
      <c r="C103" s="687">
        <v>256</v>
      </c>
      <c r="D103" s="687">
        <v>264</v>
      </c>
      <c r="H103" s="1047"/>
      <c r="I103" s="686" t="s">
        <v>260</v>
      </c>
      <c r="J103" s="686" t="s">
        <v>182</v>
      </c>
      <c r="K103" s="686" t="s">
        <v>347</v>
      </c>
      <c r="L103" s="686" t="s">
        <v>332</v>
      </c>
      <c r="M103" s="659" t="str">
        <f t="shared" si="5"/>
        <v>Water Cooled, Positive Displacement Path B ≥600 tons</v>
      </c>
      <c r="N103" s="686">
        <v>0.58499999999999996</v>
      </c>
      <c r="O103" s="686">
        <v>0.38</v>
      </c>
      <c r="P103" s="686">
        <v>0.55600000000000005</v>
      </c>
      <c r="Q103" s="686">
        <v>0.36099999999999999</v>
      </c>
      <c r="R103" s="1046" t="s">
        <v>127</v>
      </c>
      <c r="S103" s="1046"/>
      <c r="V103" s="108" t="s">
        <v>350</v>
      </c>
      <c r="W103" s="108"/>
      <c r="X103" s="81"/>
      <c r="Y103" s="108"/>
      <c r="Z103" s="108"/>
      <c r="AA103" s="108"/>
      <c r="AB103" s="108"/>
      <c r="AC103" s="108"/>
    </row>
    <row r="104" spans="2:29" ht="14.25" customHeight="1">
      <c r="B104" s="687" t="s">
        <v>180</v>
      </c>
      <c r="C104" s="687">
        <v>221</v>
      </c>
      <c r="D104" s="687">
        <v>228</v>
      </c>
      <c r="H104" s="1047"/>
      <c r="I104" s="686" t="s">
        <v>262</v>
      </c>
      <c r="J104" s="686" t="s">
        <v>177</v>
      </c>
      <c r="K104" s="686" t="s">
        <v>339</v>
      </c>
      <c r="L104" s="686" t="s">
        <v>332</v>
      </c>
      <c r="M104" s="659" t="str">
        <f t="shared" si="5"/>
        <v>Water Cooled, Centrifugal Path A &lt;150 tons</v>
      </c>
      <c r="N104" s="686">
        <v>0.61</v>
      </c>
      <c r="O104" s="686">
        <v>0.55000000000000004</v>
      </c>
      <c r="P104" s="686">
        <v>0.57999999999999996</v>
      </c>
      <c r="Q104" s="686">
        <v>0.52300000000000002</v>
      </c>
      <c r="R104" s="1046" t="s">
        <v>127</v>
      </c>
      <c r="S104" s="1046"/>
      <c r="V104" s="108" t="s">
        <v>351</v>
      </c>
      <c r="W104" s="81"/>
      <c r="X104" s="81"/>
      <c r="Y104" s="81"/>
      <c r="Z104" s="81"/>
      <c r="AA104" s="81"/>
      <c r="AB104" s="81"/>
      <c r="AC104" s="81"/>
    </row>
    <row r="105" spans="2:29" ht="14.25" customHeight="1">
      <c r="B105" s="687" t="s">
        <v>185</v>
      </c>
      <c r="C105" s="687">
        <v>440</v>
      </c>
      <c r="D105" s="687">
        <v>454</v>
      </c>
      <c r="H105" s="1047"/>
      <c r="I105" s="686" t="s">
        <v>262</v>
      </c>
      <c r="J105" s="686" t="s">
        <v>177</v>
      </c>
      <c r="K105" s="686" t="s">
        <v>343</v>
      </c>
      <c r="L105" s="686" t="s">
        <v>332</v>
      </c>
      <c r="M105" s="659" t="str">
        <f t="shared" si="5"/>
        <v>Water Cooled, Centrifugal Path A ≥150 to &lt;300 tons</v>
      </c>
      <c r="N105" s="686">
        <v>0.61</v>
      </c>
      <c r="O105" s="686">
        <v>0.55000000000000004</v>
      </c>
      <c r="P105" s="686">
        <v>0.57999999999999996</v>
      </c>
      <c r="Q105" s="686">
        <v>0.52300000000000002</v>
      </c>
      <c r="R105" s="1046" t="s">
        <v>127</v>
      </c>
      <c r="S105" s="1046"/>
      <c r="V105" s="108" t="s">
        <v>352</v>
      </c>
      <c r="W105" s="81"/>
      <c r="X105" s="81"/>
      <c r="Y105" s="81"/>
      <c r="Z105" s="81"/>
      <c r="AA105" s="81"/>
      <c r="AB105" s="81"/>
      <c r="AC105" s="81"/>
    </row>
    <row r="106" spans="2:29" ht="14.25" customHeight="1">
      <c r="B106" s="687" t="s">
        <v>188</v>
      </c>
      <c r="C106" s="688">
        <v>1226</v>
      </c>
      <c r="D106" s="688">
        <v>1265</v>
      </c>
      <c r="H106" s="1047"/>
      <c r="I106" s="686" t="s">
        <v>262</v>
      </c>
      <c r="J106" s="686" t="s">
        <v>177</v>
      </c>
      <c r="K106" s="686" t="s">
        <v>353</v>
      </c>
      <c r="L106" s="686" t="s">
        <v>332</v>
      </c>
      <c r="M106" s="659" t="str">
        <f t="shared" si="5"/>
        <v>Water Cooled, Centrifugal Path A ≥300 to &lt;400 tons</v>
      </c>
      <c r="N106" s="686">
        <v>0.56000000000000005</v>
      </c>
      <c r="O106" s="686">
        <v>0.52</v>
      </c>
      <c r="P106" s="686">
        <v>0.53200000000000003</v>
      </c>
      <c r="Q106" s="686">
        <v>0.49399999999999999</v>
      </c>
      <c r="R106" s="1046" t="s">
        <v>127</v>
      </c>
      <c r="S106" s="1046"/>
      <c r="V106" s="108" t="s">
        <v>354</v>
      </c>
      <c r="W106" s="81"/>
      <c r="X106" s="81"/>
      <c r="Y106" s="81"/>
      <c r="Z106" s="81"/>
      <c r="AA106" s="81"/>
      <c r="AB106" s="81"/>
      <c r="AC106" s="81"/>
    </row>
    <row r="107" spans="2:29" ht="14.25" customHeight="1">
      <c r="B107" s="687" t="s">
        <v>193</v>
      </c>
      <c r="C107" s="688">
        <v>1131</v>
      </c>
      <c r="D107" s="688">
        <v>1167</v>
      </c>
      <c r="H107" s="1047"/>
      <c r="I107" s="686" t="s">
        <v>262</v>
      </c>
      <c r="J107" s="686" t="s">
        <v>177</v>
      </c>
      <c r="K107" s="686" t="s">
        <v>355</v>
      </c>
      <c r="L107" s="686" t="s">
        <v>332</v>
      </c>
      <c r="M107" s="659" t="str">
        <f t="shared" si="5"/>
        <v>Water Cooled, Centrifugal Path A ≥400 to &lt;600 tons</v>
      </c>
      <c r="N107" s="686">
        <v>0.56000000000000005</v>
      </c>
      <c r="O107" s="686">
        <v>0.5</v>
      </c>
      <c r="P107" s="686">
        <v>0.53200000000000003</v>
      </c>
      <c r="Q107" s="686">
        <v>0.47499999999999998</v>
      </c>
      <c r="R107" s="1046" t="s">
        <v>127</v>
      </c>
      <c r="S107" s="1046"/>
      <c r="V107" s="108" t="s">
        <v>356</v>
      </c>
      <c r="W107" s="81"/>
      <c r="X107" s="81"/>
      <c r="Y107" s="81"/>
      <c r="Z107" s="81"/>
      <c r="AA107" s="81"/>
      <c r="AB107" s="81"/>
      <c r="AC107" s="81"/>
    </row>
    <row r="108" spans="2:29" ht="14.25" customHeight="1">
      <c r="B108" s="687" t="s">
        <v>196</v>
      </c>
      <c r="C108" s="687">
        <v>591</v>
      </c>
      <c r="D108" s="687">
        <v>609</v>
      </c>
      <c r="H108" s="1047"/>
      <c r="I108" s="686" t="s">
        <v>262</v>
      </c>
      <c r="J108" s="686" t="s">
        <v>177</v>
      </c>
      <c r="K108" s="686" t="s">
        <v>347</v>
      </c>
      <c r="L108" s="686" t="s">
        <v>332</v>
      </c>
      <c r="M108" s="659" t="str">
        <f t="shared" si="5"/>
        <v>Water Cooled, Centrifugal Path A ≥600 tons</v>
      </c>
      <c r="N108" s="686">
        <v>0.56000000000000005</v>
      </c>
      <c r="O108" s="686">
        <v>0.5</v>
      </c>
      <c r="P108" s="686">
        <v>0.52300000000000002</v>
      </c>
      <c r="Q108" s="686">
        <v>0.47499999999999998</v>
      </c>
      <c r="R108" s="1046" t="s">
        <v>127</v>
      </c>
      <c r="S108" s="1046"/>
      <c r="V108" s="108" t="s">
        <v>357</v>
      </c>
      <c r="W108" s="81"/>
      <c r="X108" s="81"/>
      <c r="Y108" s="81"/>
      <c r="Z108" s="81"/>
      <c r="AA108" s="81"/>
      <c r="AB108" s="81"/>
      <c r="AC108" s="81"/>
    </row>
    <row r="109" spans="2:29" ht="15" customHeight="1">
      <c r="B109" s="687" t="s">
        <v>198</v>
      </c>
      <c r="C109" s="687">
        <v>739</v>
      </c>
      <c r="D109" s="687">
        <v>762</v>
      </c>
      <c r="H109" s="1047"/>
      <c r="I109" s="686" t="s">
        <v>262</v>
      </c>
      <c r="J109" s="686" t="s">
        <v>182</v>
      </c>
      <c r="K109" s="686" t="s">
        <v>339</v>
      </c>
      <c r="L109" s="686" t="s">
        <v>332</v>
      </c>
      <c r="M109" s="659" t="str">
        <f t="shared" si="5"/>
        <v>Water Cooled, Centrifugal Path B &lt;150 tons</v>
      </c>
      <c r="N109" s="686">
        <v>0.69499999999999995</v>
      </c>
      <c r="O109" s="686">
        <v>0.44</v>
      </c>
      <c r="P109" s="686">
        <v>0.66</v>
      </c>
      <c r="Q109" s="686">
        <v>0.41799999999999998</v>
      </c>
      <c r="R109" s="1046" t="s">
        <v>127</v>
      </c>
      <c r="S109" s="1046"/>
      <c r="V109" s="81"/>
      <c r="W109" s="81"/>
      <c r="X109" s="81"/>
      <c r="Y109" s="81"/>
      <c r="Z109" s="81"/>
      <c r="AA109" s="81"/>
      <c r="AB109" s="81"/>
      <c r="AC109" s="81"/>
    </row>
    <row r="110" spans="2:29" ht="14.25" customHeight="1">
      <c r="B110" s="687" t="s">
        <v>200</v>
      </c>
      <c r="C110" s="687">
        <v>622</v>
      </c>
      <c r="D110" s="687">
        <v>642</v>
      </c>
      <c r="H110" s="1047"/>
      <c r="I110" s="686" t="s">
        <v>262</v>
      </c>
      <c r="J110" s="686" t="s">
        <v>182</v>
      </c>
      <c r="K110" s="686" t="s">
        <v>343</v>
      </c>
      <c r="L110" s="686" t="s">
        <v>332</v>
      </c>
      <c r="M110" s="659" t="str">
        <f t="shared" si="5"/>
        <v>Water Cooled, Centrifugal Path B ≥150 to &lt;300 tons</v>
      </c>
      <c r="N110" s="686">
        <v>0.63500000000000001</v>
      </c>
      <c r="O110" s="686">
        <v>0.4</v>
      </c>
      <c r="P110" s="686">
        <v>0.60299999999999998</v>
      </c>
      <c r="Q110" s="686">
        <v>0.38</v>
      </c>
      <c r="R110" s="1046" t="s">
        <v>127</v>
      </c>
      <c r="S110" s="1046"/>
      <c r="V110" s="108" t="s">
        <v>358</v>
      </c>
      <c r="W110" s="81"/>
      <c r="X110" s="81"/>
      <c r="Y110" s="81"/>
      <c r="Z110" s="81"/>
      <c r="AA110" s="81"/>
      <c r="AB110" s="81"/>
      <c r="AC110" s="81"/>
    </row>
    <row r="111" spans="2:29" ht="14.25" customHeight="1">
      <c r="B111" s="687" t="s">
        <v>205</v>
      </c>
      <c r="C111" s="687">
        <v>854</v>
      </c>
      <c r="D111" s="687">
        <v>881</v>
      </c>
      <c r="H111" s="1047"/>
      <c r="I111" s="686" t="s">
        <v>262</v>
      </c>
      <c r="J111" s="686" t="s">
        <v>182</v>
      </c>
      <c r="K111" s="686" t="s">
        <v>353</v>
      </c>
      <c r="L111" s="686" t="s">
        <v>332</v>
      </c>
      <c r="M111" s="659" t="str">
        <f t="shared" si="5"/>
        <v>Water Cooled, Centrifugal Path B ≥300 to &lt;400 tons</v>
      </c>
      <c r="N111" s="686">
        <v>0.59499999999999997</v>
      </c>
      <c r="O111" s="686">
        <v>0.39</v>
      </c>
      <c r="P111" s="686">
        <v>0.56499999999999995</v>
      </c>
      <c r="Q111" s="686">
        <v>0.371</v>
      </c>
      <c r="R111" s="1046" t="s">
        <v>127</v>
      </c>
      <c r="S111" s="1046"/>
      <c r="V111" s="108" t="s">
        <v>360</v>
      </c>
      <c r="W111" s="81"/>
      <c r="X111" s="81"/>
      <c r="Y111" s="81"/>
      <c r="Z111" s="81"/>
      <c r="AA111" s="81"/>
      <c r="AB111" s="81"/>
      <c r="AC111" s="81"/>
    </row>
    <row r="112" spans="2:29" ht="14.25" customHeight="1">
      <c r="B112" s="687" t="s">
        <v>209</v>
      </c>
      <c r="C112" s="687">
        <v>342</v>
      </c>
      <c r="D112" s="687">
        <v>353</v>
      </c>
      <c r="H112" s="1047"/>
      <c r="I112" s="686" t="s">
        <v>262</v>
      </c>
      <c r="J112" s="686" t="s">
        <v>182</v>
      </c>
      <c r="K112" s="686" t="s">
        <v>355</v>
      </c>
      <c r="L112" s="686" t="s">
        <v>332</v>
      </c>
      <c r="M112" s="659" t="str">
        <f t="shared" si="5"/>
        <v>Water Cooled, Centrifugal Path B ≥400 to &lt;600 tons</v>
      </c>
      <c r="N112" s="686">
        <v>0.58499999999999996</v>
      </c>
      <c r="O112" s="686">
        <v>0.38</v>
      </c>
      <c r="P112" s="686">
        <v>0.55600000000000005</v>
      </c>
      <c r="Q112" s="686">
        <v>0.36099999999999999</v>
      </c>
      <c r="R112" s="1046" t="s">
        <v>127</v>
      </c>
      <c r="S112" s="1046"/>
      <c r="V112" s="108" t="s">
        <v>362</v>
      </c>
      <c r="W112" s="81"/>
      <c r="X112" s="81"/>
      <c r="Y112" s="81"/>
      <c r="Z112" s="81"/>
      <c r="AA112" s="81"/>
      <c r="AB112" s="81"/>
      <c r="AC112" s="81"/>
    </row>
    <row r="113" spans="2:29" ht="15" customHeight="1">
      <c r="B113" s="22" t="s">
        <v>210</v>
      </c>
      <c r="C113" s="19"/>
      <c r="D113" s="19"/>
      <c r="H113" s="1047"/>
      <c r="I113" s="686" t="s">
        <v>262</v>
      </c>
      <c r="J113" s="686" t="s">
        <v>182</v>
      </c>
      <c r="K113" s="686" t="s">
        <v>347</v>
      </c>
      <c r="L113" s="686" t="s">
        <v>332</v>
      </c>
      <c r="M113" s="659" t="str">
        <f t="shared" si="5"/>
        <v>Water Cooled, Centrifugal Path B ≥600 tons</v>
      </c>
      <c r="N113" s="686">
        <v>0.58499999999999996</v>
      </c>
      <c r="O113" s="686">
        <v>0.38</v>
      </c>
      <c r="P113" s="686">
        <v>0.55600000000000005</v>
      </c>
      <c r="Q113" s="686">
        <v>0.36099999999999999</v>
      </c>
      <c r="R113" s="1046" t="s">
        <v>127</v>
      </c>
      <c r="S113" s="1046"/>
      <c r="V113" s="108" t="s">
        <v>229</v>
      </c>
      <c r="W113" s="81"/>
      <c r="X113" s="81"/>
      <c r="Y113" s="81"/>
      <c r="Z113" s="81"/>
      <c r="AA113" s="81"/>
      <c r="AB113" s="81"/>
      <c r="AC113" s="81"/>
    </row>
    <row r="114" spans="2:29">
      <c r="V114" s="108" t="s">
        <v>364</v>
      </c>
      <c r="W114" s="81"/>
      <c r="X114" s="81"/>
      <c r="Y114" s="81"/>
      <c r="Z114" s="81"/>
      <c r="AA114" s="81"/>
      <c r="AB114" s="81"/>
      <c r="AC114" s="81"/>
    </row>
    <row r="115" spans="2:29" ht="14.4">
      <c r="B115" s="828" t="s">
        <v>110</v>
      </c>
      <c r="C115" s="828"/>
      <c r="D115" s="828"/>
      <c r="H115" s="1039" t="s">
        <v>98</v>
      </c>
      <c r="I115" s="1039" t="s">
        <v>292</v>
      </c>
      <c r="J115" s="803" t="s">
        <v>221</v>
      </c>
      <c r="K115" s="1039" t="s">
        <v>293</v>
      </c>
      <c r="L115" s="803" t="s">
        <v>294</v>
      </c>
      <c r="M115" s="1039" t="s">
        <v>295</v>
      </c>
      <c r="N115"/>
      <c r="O115"/>
      <c r="V115" s="108" t="s">
        <v>367</v>
      </c>
      <c r="W115" s="81"/>
      <c r="X115" s="81"/>
      <c r="Y115" s="81"/>
      <c r="Z115" s="81"/>
      <c r="AA115" s="81"/>
      <c r="AB115" s="81"/>
      <c r="AC115" s="81"/>
    </row>
    <row r="116" spans="2:29" ht="15" customHeight="1">
      <c r="B116" s="685" t="s">
        <v>115</v>
      </c>
      <c r="C116" s="685" t="s">
        <v>116</v>
      </c>
      <c r="D116" s="685" t="s">
        <v>117</v>
      </c>
      <c r="H116" s="1039"/>
      <c r="I116" s="1039"/>
      <c r="J116" s="804"/>
      <c r="K116" s="1039"/>
      <c r="L116" s="804"/>
      <c r="M116" s="1039"/>
      <c r="N116"/>
      <c r="O116"/>
      <c r="V116" s="108" t="s">
        <v>133</v>
      </c>
      <c r="W116" s="81"/>
      <c r="X116" s="81"/>
      <c r="Y116" s="81"/>
      <c r="Z116" s="81"/>
      <c r="AA116" s="81"/>
      <c r="AB116" s="81"/>
      <c r="AC116" s="81"/>
    </row>
    <row r="117" spans="2:29" ht="14.4">
      <c r="B117" s="20" t="s">
        <v>128</v>
      </c>
      <c r="C117" s="687">
        <v>937</v>
      </c>
      <c r="D117" s="687">
        <v>922</v>
      </c>
      <c r="H117" s="805" t="s">
        <v>372</v>
      </c>
      <c r="I117" s="408" t="s">
        <v>373</v>
      </c>
      <c r="J117" s="686" t="s">
        <v>332</v>
      </c>
      <c r="K117" s="686" t="s">
        <v>374</v>
      </c>
      <c r="L117" s="686" t="s">
        <v>332</v>
      </c>
      <c r="M117" s="689" t="str">
        <f t="shared" ref="M117:M127" si="8">_xlfn.CONCAT(I117," ",K117)</f>
        <v>Air Source Heat Pump &lt;65,000 Btu/h</v>
      </c>
      <c r="N117"/>
      <c r="O117"/>
      <c r="V117" s="81"/>
      <c r="W117" s="81"/>
      <c r="X117" s="81"/>
      <c r="Y117" s="81"/>
      <c r="Z117" s="81"/>
      <c r="AA117" s="81"/>
      <c r="AB117" s="81"/>
      <c r="AC117" s="81"/>
    </row>
    <row r="118" spans="2:29" ht="14.4">
      <c r="B118" s="687" t="s">
        <v>134</v>
      </c>
      <c r="C118" s="687">
        <v>713</v>
      </c>
      <c r="D118" s="687">
        <v>701</v>
      </c>
      <c r="H118" s="806"/>
      <c r="I118" s="408" t="s">
        <v>373</v>
      </c>
      <c r="J118" s="686" t="s">
        <v>332</v>
      </c>
      <c r="K118" s="686" t="s">
        <v>375</v>
      </c>
      <c r="L118" s="686" t="s">
        <v>332</v>
      </c>
      <c r="M118" s="689" t="str">
        <f t="shared" si="8"/>
        <v>Air Source Heat Pump ≥65,000 to &lt;135,000 Btu/h</v>
      </c>
      <c r="N118"/>
      <c r="O118"/>
      <c r="V118" s="81" t="s">
        <v>376</v>
      </c>
      <c r="W118" s="81"/>
      <c r="X118" s="81"/>
      <c r="Y118" s="81"/>
      <c r="Z118" s="81"/>
      <c r="AA118" s="81"/>
      <c r="AB118" s="81"/>
      <c r="AC118" s="81"/>
    </row>
    <row r="119" spans="2:29" ht="14.4">
      <c r="B119" s="687" t="s">
        <v>139</v>
      </c>
      <c r="C119" s="687">
        <v>293</v>
      </c>
      <c r="D119" s="687">
        <v>288</v>
      </c>
      <c r="H119" s="806"/>
      <c r="I119" s="408" t="s">
        <v>373</v>
      </c>
      <c r="J119" s="686" t="s">
        <v>332</v>
      </c>
      <c r="K119" s="686" t="s">
        <v>377</v>
      </c>
      <c r="L119" s="686" t="s">
        <v>332</v>
      </c>
      <c r="M119" s="689" t="str">
        <f t="shared" si="8"/>
        <v>Air Source Heat Pump ≥135,000 to &lt;240,000 Btu/h</v>
      </c>
      <c r="N119"/>
      <c r="O119"/>
      <c r="V119" s="81" t="s">
        <v>378</v>
      </c>
      <c r="W119" s="81"/>
      <c r="X119" s="81"/>
      <c r="Y119" s="81"/>
      <c r="Z119" s="81"/>
      <c r="AA119" s="81"/>
      <c r="AB119" s="81"/>
      <c r="AC119" s="81"/>
    </row>
    <row r="120" spans="2:29" ht="14.4">
      <c r="B120" s="687" t="s">
        <v>143</v>
      </c>
      <c r="C120" s="687">
        <v>348</v>
      </c>
      <c r="D120" s="687">
        <v>342</v>
      </c>
      <c r="E120"/>
      <c r="F120"/>
      <c r="H120" s="806"/>
      <c r="I120" s="408" t="s">
        <v>373</v>
      </c>
      <c r="J120" s="686" t="s">
        <v>332</v>
      </c>
      <c r="K120" s="686" t="s">
        <v>380</v>
      </c>
      <c r="L120" s="686" t="s">
        <v>332</v>
      </c>
      <c r="M120" s="689" t="str">
        <f t="shared" si="8"/>
        <v>Air Source Heat Pump ≥240,000 to ≤300,000 Btu/h</v>
      </c>
      <c r="N120"/>
      <c r="O120"/>
      <c r="V120" s="81"/>
      <c r="W120" s="81"/>
      <c r="X120" s="81"/>
      <c r="Y120" s="81"/>
      <c r="Z120" s="81"/>
      <c r="AA120" s="81"/>
      <c r="AB120" s="81"/>
      <c r="AC120" s="81"/>
    </row>
    <row r="121" spans="2:29" ht="15" customHeight="1">
      <c r="B121" s="687" t="s">
        <v>148</v>
      </c>
      <c r="C121" s="687">
        <v>337</v>
      </c>
      <c r="D121" s="687">
        <v>331</v>
      </c>
      <c r="E121"/>
      <c r="F121"/>
      <c r="H121" s="806"/>
      <c r="I121" s="408" t="s">
        <v>249</v>
      </c>
      <c r="J121" s="686" t="s">
        <v>332</v>
      </c>
      <c r="K121" s="686" t="s">
        <v>374</v>
      </c>
      <c r="L121" s="686" t="s">
        <v>332</v>
      </c>
      <c r="M121" s="689" t="str">
        <f t="shared" si="8"/>
        <v>Electric Resistance &lt;65,000 Btu/h</v>
      </c>
      <c r="N121"/>
      <c r="O121"/>
      <c r="V121" s="81" t="s">
        <v>382</v>
      </c>
      <c r="W121" s="81"/>
      <c r="X121" s="81"/>
      <c r="Y121" s="81"/>
      <c r="Z121" s="81"/>
      <c r="AA121" s="81"/>
      <c r="AB121" s="81"/>
      <c r="AC121" s="81"/>
    </row>
    <row r="122" spans="2:29" ht="14.4">
      <c r="B122" s="687" t="s">
        <v>151</v>
      </c>
      <c r="C122" s="687">
        <v>787</v>
      </c>
      <c r="D122" s="687">
        <v>774</v>
      </c>
      <c r="E122"/>
      <c r="F122"/>
      <c r="H122" s="806"/>
      <c r="I122" s="408" t="s">
        <v>249</v>
      </c>
      <c r="J122" s="686" t="s">
        <v>332</v>
      </c>
      <c r="K122" s="686" t="s">
        <v>375</v>
      </c>
      <c r="L122" s="686" t="s">
        <v>332</v>
      </c>
      <c r="M122" s="689" t="str">
        <f t="shared" si="8"/>
        <v>Electric Resistance ≥65,000 to &lt;135,000 Btu/h</v>
      </c>
      <c r="N122"/>
      <c r="O122"/>
      <c r="V122" s="81" t="s">
        <v>384</v>
      </c>
      <c r="W122" s="81"/>
      <c r="X122" s="81"/>
      <c r="Y122" s="81"/>
      <c r="Z122" s="81"/>
      <c r="AA122" s="81"/>
      <c r="AB122" s="81"/>
      <c r="AC122" s="81"/>
    </row>
    <row r="123" spans="2:29" ht="14.4">
      <c r="B123" s="687" t="s">
        <v>156</v>
      </c>
      <c r="C123" s="687">
        <v>672</v>
      </c>
      <c r="D123" s="687">
        <v>662</v>
      </c>
      <c r="E123"/>
      <c r="F123"/>
      <c r="H123" s="806"/>
      <c r="I123" s="408" t="s">
        <v>249</v>
      </c>
      <c r="J123" s="686" t="s">
        <v>332</v>
      </c>
      <c r="K123" s="686" t="s">
        <v>377</v>
      </c>
      <c r="L123" s="686" t="s">
        <v>332</v>
      </c>
      <c r="M123" s="689" t="str">
        <f t="shared" si="8"/>
        <v>Electric Resistance ≥135,000 to &lt;240,000 Btu/h</v>
      </c>
      <c r="N123"/>
      <c r="O123"/>
      <c r="V123" s="81"/>
      <c r="W123" s="81"/>
      <c r="X123" s="81"/>
      <c r="Y123" s="81"/>
      <c r="Z123" s="81"/>
      <c r="AA123" s="81"/>
      <c r="AB123" s="81"/>
      <c r="AC123" s="81"/>
    </row>
    <row r="124" spans="2:29" ht="14.4">
      <c r="B124" s="687" t="s">
        <v>157</v>
      </c>
      <c r="C124" s="688">
        <v>1213</v>
      </c>
      <c r="D124" s="688">
        <v>1194</v>
      </c>
      <c r="E124"/>
      <c r="F124"/>
      <c r="H124" s="806"/>
      <c r="I124" s="408" t="s">
        <v>249</v>
      </c>
      <c r="J124" s="686" t="s">
        <v>332</v>
      </c>
      <c r="K124" s="686" t="s">
        <v>380</v>
      </c>
      <c r="L124" s="686" t="s">
        <v>332</v>
      </c>
      <c r="M124" s="689" t="str">
        <f t="shared" si="8"/>
        <v>Electric Resistance ≥240,000 to ≤300,000 Btu/h</v>
      </c>
      <c r="N124"/>
      <c r="O124"/>
      <c r="V124" s="109" t="s">
        <v>386</v>
      </c>
      <c r="W124" s="81"/>
      <c r="X124" s="81"/>
      <c r="Y124" s="81"/>
      <c r="Z124" s="81"/>
      <c r="AA124" s="81"/>
      <c r="AB124" s="81"/>
      <c r="AC124" s="81"/>
    </row>
    <row r="125" spans="2:29" ht="14.4">
      <c r="B125" s="687" t="s">
        <v>161</v>
      </c>
      <c r="C125" s="687">
        <v>645</v>
      </c>
      <c r="D125" s="687">
        <v>634</v>
      </c>
      <c r="E125"/>
      <c r="F125"/>
      <c r="H125" s="806"/>
      <c r="I125" s="408" t="s">
        <v>216</v>
      </c>
      <c r="J125" s="686" t="s">
        <v>332</v>
      </c>
      <c r="K125" s="686" t="s">
        <v>374</v>
      </c>
      <c r="L125" s="686" t="s">
        <v>332</v>
      </c>
      <c r="M125" s="689" t="str">
        <f t="shared" si="8"/>
        <v>None &lt;65,000 Btu/h</v>
      </c>
      <c r="N125"/>
      <c r="O125"/>
      <c r="V125" s="81" t="s">
        <v>167</v>
      </c>
      <c r="W125" s="81"/>
      <c r="X125" s="81"/>
      <c r="Y125" s="81"/>
      <c r="Z125" s="81"/>
      <c r="AA125" s="81"/>
      <c r="AB125" s="81"/>
      <c r="AC125" s="81"/>
    </row>
    <row r="126" spans="2:29" ht="14.4">
      <c r="B126" s="687" t="s">
        <v>165</v>
      </c>
      <c r="C126" s="688">
        <v>1816</v>
      </c>
      <c r="D126" s="688">
        <v>1787</v>
      </c>
      <c r="E126"/>
      <c r="F126"/>
      <c r="H126" s="806"/>
      <c r="I126" s="408" t="s">
        <v>216</v>
      </c>
      <c r="J126" s="686" t="s">
        <v>332</v>
      </c>
      <c r="K126" s="686" t="s">
        <v>375</v>
      </c>
      <c r="L126" s="686" t="s">
        <v>332</v>
      </c>
      <c r="M126" s="689" t="str">
        <f t="shared" si="8"/>
        <v>None ≥65,000 to &lt;135,000 Btu/h</v>
      </c>
      <c r="N126"/>
      <c r="O126"/>
      <c r="V126" s="81"/>
      <c r="W126" s="81"/>
      <c r="X126" s="81"/>
      <c r="Y126" s="81"/>
      <c r="Z126" s="81"/>
      <c r="AA126" s="81"/>
      <c r="AB126" s="81"/>
      <c r="AC126" s="81"/>
    </row>
    <row r="127" spans="2:29" ht="14.4">
      <c r="B127" s="687" t="s">
        <v>168</v>
      </c>
      <c r="C127" s="687">
        <v>867</v>
      </c>
      <c r="D127" s="687">
        <v>853</v>
      </c>
      <c r="E127"/>
      <c r="F127"/>
      <c r="H127" s="806"/>
      <c r="I127" s="408" t="s">
        <v>216</v>
      </c>
      <c r="J127" s="686" t="s">
        <v>332</v>
      </c>
      <c r="K127" s="686" t="s">
        <v>377</v>
      </c>
      <c r="L127" s="686" t="s">
        <v>332</v>
      </c>
      <c r="M127" s="689" t="str">
        <f t="shared" si="8"/>
        <v>None ≥135,000 to &lt;240,000 Btu/h</v>
      </c>
      <c r="N127"/>
      <c r="O127"/>
      <c r="V127" s="369" t="s">
        <v>99</v>
      </c>
      <c r="W127" s="657" t="s">
        <v>222</v>
      </c>
      <c r="X127" s="81"/>
      <c r="Y127" s="81"/>
      <c r="Z127" s="81"/>
      <c r="AA127" s="81"/>
      <c r="AB127" s="81"/>
      <c r="AC127" s="81"/>
    </row>
    <row r="128" spans="2:29" ht="14.4">
      <c r="B128" s="687" t="s">
        <v>171</v>
      </c>
      <c r="C128" s="687">
        <v>456</v>
      </c>
      <c r="D128" s="687">
        <v>449</v>
      </c>
      <c r="E128"/>
      <c r="F128"/>
      <c r="H128" s="806"/>
      <c r="I128" s="408" t="s">
        <v>216</v>
      </c>
      <c r="J128" s="686" t="s">
        <v>332</v>
      </c>
      <c r="K128" s="686" t="s">
        <v>380</v>
      </c>
      <c r="L128" s="686" t="s">
        <v>332</v>
      </c>
      <c r="M128" s="689" t="str">
        <f>_xlfn.CONCAT(I128," ",K128)</f>
        <v>None ≥240,000 to ≤300,000 Btu/h</v>
      </c>
      <c r="N128"/>
      <c r="O128"/>
      <c r="V128" s="375" t="s">
        <v>387</v>
      </c>
      <c r="W128" s="662">
        <v>0.8</v>
      </c>
      <c r="X128" s="81"/>
      <c r="Y128" s="81"/>
      <c r="Z128" s="81"/>
      <c r="AA128" s="81"/>
      <c r="AB128" s="81"/>
      <c r="AC128" s="81"/>
    </row>
    <row r="129" spans="2:29" ht="14.4">
      <c r="B129" s="687" t="s">
        <v>175</v>
      </c>
      <c r="C129" s="688">
        <v>1509</v>
      </c>
      <c r="D129" s="688">
        <v>1485</v>
      </c>
      <c r="E129"/>
      <c r="F129"/>
      <c r="H129" s="806"/>
      <c r="I129" s="408" t="s">
        <v>388</v>
      </c>
      <c r="J129" s="686" t="s">
        <v>332</v>
      </c>
      <c r="K129" s="686" t="s">
        <v>374</v>
      </c>
      <c r="L129" s="686" t="s">
        <v>332</v>
      </c>
      <c r="M129" s="689" t="str">
        <f t="shared" ref="M129:M132" si="9">_xlfn.CONCAT(I129," ",K129)</f>
        <v>Non-Electric &lt;65,000 Btu/h</v>
      </c>
      <c r="N129"/>
      <c r="O129"/>
      <c r="V129" s="375" t="s">
        <v>389</v>
      </c>
      <c r="W129" s="662">
        <v>0.82</v>
      </c>
      <c r="X129" s="81"/>
      <c r="Y129" s="81"/>
      <c r="Z129" s="81"/>
      <c r="AA129" s="81"/>
      <c r="AB129" s="81"/>
      <c r="AC129" s="81"/>
    </row>
    <row r="130" spans="2:29" ht="14.4">
      <c r="B130" s="687" t="s">
        <v>180</v>
      </c>
      <c r="C130" s="687">
        <v>727</v>
      </c>
      <c r="D130" s="687">
        <v>716</v>
      </c>
      <c r="E130"/>
      <c r="F130"/>
      <c r="H130" s="806"/>
      <c r="I130" s="408" t="s">
        <v>388</v>
      </c>
      <c r="J130" s="686" t="s">
        <v>332</v>
      </c>
      <c r="K130" s="686" t="s">
        <v>375</v>
      </c>
      <c r="L130" s="686" t="s">
        <v>332</v>
      </c>
      <c r="M130" s="689" t="str">
        <f t="shared" si="9"/>
        <v>Non-Electric ≥65,000 to &lt;135,000 Btu/h</v>
      </c>
      <c r="N130"/>
      <c r="O130"/>
      <c r="V130" s="375" t="s">
        <v>390</v>
      </c>
      <c r="W130" s="662">
        <v>0.84</v>
      </c>
      <c r="X130" s="81"/>
      <c r="Y130" s="81"/>
      <c r="Z130" s="81"/>
      <c r="AA130" s="81"/>
      <c r="AB130" s="81"/>
      <c r="AC130" s="81"/>
    </row>
    <row r="131" spans="2:29" ht="14.4">
      <c r="B131" s="687" t="s">
        <v>185</v>
      </c>
      <c r="C131" s="687">
        <v>629</v>
      </c>
      <c r="D131" s="687">
        <v>619</v>
      </c>
      <c r="E131"/>
      <c r="F131"/>
      <c r="H131" s="806"/>
      <c r="I131" s="408" t="s">
        <v>388</v>
      </c>
      <c r="J131" s="686" t="s">
        <v>332</v>
      </c>
      <c r="K131" s="686" t="s">
        <v>377</v>
      </c>
      <c r="L131" s="686" t="s">
        <v>332</v>
      </c>
      <c r="M131" s="689" t="str">
        <f t="shared" si="9"/>
        <v>Non-Electric ≥135,000 to &lt;240,000 Btu/h</v>
      </c>
      <c r="N131"/>
      <c r="O131"/>
      <c r="V131" s="375" t="s">
        <v>391</v>
      </c>
      <c r="W131" s="662">
        <v>0.8</v>
      </c>
      <c r="X131" s="81"/>
      <c r="Y131" s="81"/>
      <c r="Z131" s="81"/>
      <c r="AA131" s="81"/>
      <c r="AB131" s="81"/>
      <c r="AC131" s="81"/>
    </row>
    <row r="132" spans="2:29" ht="14.4">
      <c r="B132" s="687" t="s">
        <v>188</v>
      </c>
      <c r="C132" s="687">
        <v>724</v>
      </c>
      <c r="D132" s="687">
        <v>712</v>
      </c>
      <c r="E132"/>
      <c r="F132"/>
      <c r="H132" s="807"/>
      <c r="I132" s="408" t="s">
        <v>388</v>
      </c>
      <c r="J132" s="686" t="s">
        <v>332</v>
      </c>
      <c r="K132" s="686" t="s">
        <v>380</v>
      </c>
      <c r="L132" s="686" t="s">
        <v>332</v>
      </c>
      <c r="M132" s="689" t="str">
        <f t="shared" si="9"/>
        <v>Non-Electric ≥240,000 to ≤300,000 Btu/h</v>
      </c>
      <c r="N132"/>
      <c r="O132"/>
      <c r="V132" s="375" t="s">
        <v>392</v>
      </c>
      <c r="W132" s="662">
        <v>0.8</v>
      </c>
      <c r="X132" s="81"/>
      <c r="Y132" s="81"/>
      <c r="Z132" s="81"/>
      <c r="AA132" s="81"/>
      <c r="AB132" s="81"/>
      <c r="AC132" s="81"/>
    </row>
    <row r="133" spans="2:29" ht="14.4">
      <c r="B133" s="687" t="s">
        <v>193</v>
      </c>
      <c r="C133" s="687">
        <v>762</v>
      </c>
      <c r="D133" s="687">
        <v>750</v>
      </c>
      <c r="E133"/>
      <c r="F133"/>
      <c r="H133" s="803" t="s">
        <v>98</v>
      </c>
      <c r="I133" s="803" t="s">
        <v>292</v>
      </c>
      <c r="J133" s="803" t="s">
        <v>221</v>
      </c>
      <c r="K133" s="1039" t="s">
        <v>293</v>
      </c>
      <c r="L133" s="803" t="s">
        <v>294</v>
      </c>
      <c r="M133" s="1039" t="s">
        <v>295</v>
      </c>
      <c r="N133"/>
      <c r="O133"/>
      <c r="V133" s="375" t="s">
        <v>393</v>
      </c>
      <c r="W133" s="662">
        <v>0.82</v>
      </c>
      <c r="X133" s="81"/>
      <c r="Y133" s="81"/>
      <c r="Z133" s="81"/>
      <c r="AA133" s="81"/>
      <c r="AB133" s="81"/>
      <c r="AC133" s="81"/>
    </row>
    <row r="134" spans="2:29" ht="14.4">
      <c r="B134" s="687" t="s">
        <v>196</v>
      </c>
      <c r="C134" s="687">
        <v>880</v>
      </c>
      <c r="D134" s="687">
        <v>866</v>
      </c>
      <c r="E134"/>
      <c r="F134"/>
      <c r="H134" s="804"/>
      <c r="I134" s="804"/>
      <c r="J134" s="804"/>
      <c r="K134" s="1039"/>
      <c r="L134" s="804"/>
      <c r="M134" s="1039"/>
      <c r="N134"/>
      <c r="O134"/>
      <c r="V134" s="81"/>
      <c r="W134" s="81"/>
      <c r="X134" s="81"/>
      <c r="Y134" s="81"/>
      <c r="Z134" s="81"/>
      <c r="AA134" s="81"/>
      <c r="AB134" s="81"/>
      <c r="AC134" s="81"/>
    </row>
    <row r="135" spans="2:29" ht="14.4">
      <c r="B135" s="687" t="s">
        <v>198</v>
      </c>
      <c r="C135" s="687">
        <v>904</v>
      </c>
      <c r="D135" s="687">
        <v>890</v>
      </c>
      <c r="E135"/>
      <c r="F135"/>
      <c r="H135" s="805" t="s">
        <v>394</v>
      </c>
      <c r="I135" s="408" t="s">
        <v>395</v>
      </c>
      <c r="J135" s="686" t="s">
        <v>332</v>
      </c>
      <c r="K135" s="686" t="s">
        <v>374</v>
      </c>
      <c r="L135" s="686" t="s">
        <v>332</v>
      </c>
      <c r="M135" s="689" t="str">
        <f>_xlfn.CONCAT(I135," ",K135)</f>
        <v>Air Source Air Conditioner &lt;65,000 Btu/h</v>
      </c>
      <c r="N135"/>
      <c r="O135"/>
      <c r="V135" s="81" t="s">
        <v>396</v>
      </c>
      <c r="W135" s="81"/>
      <c r="X135" s="81"/>
      <c r="Y135" s="81"/>
      <c r="Z135" s="81"/>
      <c r="AA135" s="81"/>
      <c r="AB135" s="81"/>
      <c r="AC135" s="81"/>
    </row>
    <row r="136" spans="2:29" ht="14.4">
      <c r="B136" s="687" t="s">
        <v>200</v>
      </c>
      <c r="C136" s="687">
        <v>915</v>
      </c>
      <c r="D136" s="687">
        <v>901</v>
      </c>
      <c r="E136"/>
      <c r="F136"/>
      <c r="H136" s="806"/>
      <c r="I136" s="408" t="s">
        <v>395</v>
      </c>
      <c r="J136" s="686" t="s">
        <v>332</v>
      </c>
      <c r="K136" s="686" t="s">
        <v>375</v>
      </c>
      <c r="L136" s="686" t="s">
        <v>332</v>
      </c>
      <c r="M136" s="689" t="str">
        <f t="shared" ref="M136:M150" si="10">_xlfn.CONCAT(I136," ",K136)</f>
        <v>Air Source Air Conditioner ≥65,000 to &lt;135,000 Btu/h</v>
      </c>
      <c r="N136"/>
      <c r="O136"/>
      <c r="V136" s="375" t="s">
        <v>397</v>
      </c>
      <c r="W136" s="662">
        <v>1</v>
      </c>
      <c r="X136" s="81"/>
      <c r="Y136" s="81"/>
      <c r="Z136" s="81"/>
      <c r="AA136" s="81"/>
      <c r="AB136" s="81"/>
      <c r="AC136" s="81"/>
    </row>
    <row r="137" spans="2:29" ht="15" customHeight="1">
      <c r="B137" s="687" t="s">
        <v>205</v>
      </c>
      <c r="C137" s="687">
        <v>243</v>
      </c>
      <c r="D137" s="687">
        <v>239</v>
      </c>
      <c r="E137"/>
      <c r="F137"/>
      <c r="H137" s="806"/>
      <c r="I137" s="408" t="s">
        <v>395</v>
      </c>
      <c r="J137" s="686" t="s">
        <v>332</v>
      </c>
      <c r="K137" s="686" t="s">
        <v>377</v>
      </c>
      <c r="L137" s="686" t="s">
        <v>332</v>
      </c>
      <c r="M137" s="689" t="str">
        <f t="shared" si="10"/>
        <v>Air Source Air Conditioner ≥135,000 to &lt;240,000 Btu/h</v>
      </c>
      <c r="N137"/>
      <c r="O137"/>
      <c r="V137" s="375" t="s">
        <v>398</v>
      </c>
      <c r="W137" s="662">
        <v>1.2</v>
      </c>
      <c r="X137" s="81"/>
      <c r="Y137" s="81"/>
      <c r="Z137" s="81"/>
      <c r="AA137" s="81"/>
      <c r="AB137" s="81"/>
      <c r="AC137" s="81"/>
    </row>
    <row r="138" spans="2:29" ht="14.4">
      <c r="B138" s="687" t="s">
        <v>209</v>
      </c>
      <c r="C138" s="688">
        <v>3886</v>
      </c>
      <c r="D138" s="688">
        <v>3824</v>
      </c>
      <c r="E138"/>
      <c r="F138">
        <f>[3]Summary!C7</f>
        <v>0</v>
      </c>
      <c r="H138" s="806"/>
      <c r="I138" s="408" t="s">
        <v>395</v>
      </c>
      <c r="J138" s="686" t="s">
        <v>332</v>
      </c>
      <c r="K138" s="686" t="s">
        <v>380</v>
      </c>
      <c r="L138" s="686" t="s">
        <v>332</v>
      </c>
      <c r="M138" s="689" t="str">
        <f t="shared" si="10"/>
        <v>Air Source Air Conditioner ≥240,000 to ≤300,000 Btu/h</v>
      </c>
      <c r="N138"/>
      <c r="O138"/>
      <c r="V138" s="375" t="s">
        <v>399</v>
      </c>
      <c r="W138" s="662">
        <v>1.28</v>
      </c>
      <c r="X138" s="81"/>
      <c r="Y138" s="81"/>
      <c r="Z138" s="81"/>
      <c r="AA138" s="81"/>
      <c r="AB138" s="81"/>
      <c r="AC138" s="81"/>
    </row>
    <row r="139" spans="2:29" ht="14.25" customHeight="1">
      <c r="E139"/>
      <c r="F139"/>
      <c r="H139" s="806"/>
      <c r="I139" s="408" t="s">
        <v>400</v>
      </c>
      <c r="J139" s="686" t="s">
        <v>332</v>
      </c>
      <c r="K139" s="686" t="s">
        <v>374</v>
      </c>
      <c r="L139" s="686" t="s">
        <v>332</v>
      </c>
      <c r="M139" s="689" t="str">
        <f t="shared" si="10"/>
        <v>Water Cooled Air Conditioner &lt;65,000 Btu/h</v>
      </c>
      <c r="N139"/>
      <c r="O139"/>
    </row>
    <row r="140" spans="2:29" ht="14.4">
      <c r="E140"/>
      <c r="F140"/>
      <c r="H140" s="806"/>
      <c r="I140" s="408" t="s">
        <v>400</v>
      </c>
      <c r="J140" s="686" t="s">
        <v>332</v>
      </c>
      <c r="K140" s="686" t="s">
        <v>375</v>
      </c>
      <c r="L140" s="686" t="s">
        <v>332</v>
      </c>
      <c r="M140" s="689" t="str">
        <f t="shared" si="10"/>
        <v>Water Cooled Air Conditioner ≥65,000 to &lt;135,000 Btu/h</v>
      </c>
      <c r="N140"/>
      <c r="O140"/>
    </row>
    <row r="141" spans="2:29" ht="14.4">
      <c r="B141" s="685" t="s">
        <v>231</v>
      </c>
      <c r="C141" s="685" t="s">
        <v>226</v>
      </c>
      <c r="E141"/>
      <c r="F141"/>
      <c r="H141" s="806"/>
      <c r="I141" s="408" t="s">
        <v>400</v>
      </c>
      <c r="J141" s="686" t="s">
        <v>332</v>
      </c>
      <c r="K141" s="686" t="s">
        <v>377</v>
      </c>
      <c r="L141" s="686" t="s">
        <v>332</v>
      </c>
      <c r="M141" s="689" t="str">
        <f t="shared" si="10"/>
        <v>Water Cooled Air Conditioner ≥135,000 to &lt;240,000 Btu/h</v>
      </c>
      <c r="N141"/>
      <c r="O141"/>
    </row>
    <row r="142" spans="2:29" ht="14.4">
      <c r="B142" s="690" t="s">
        <v>404</v>
      </c>
      <c r="C142" s="690" t="s">
        <v>405</v>
      </c>
      <c r="E142"/>
      <c r="F142"/>
      <c r="H142" s="806"/>
      <c r="I142" s="408" t="s">
        <v>400</v>
      </c>
      <c r="J142" s="686" t="s">
        <v>332</v>
      </c>
      <c r="K142" s="686" t="s">
        <v>380</v>
      </c>
      <c r="L142" s="686" t="s">
        <v>332</v>
      </c>
      <c r="M142" s="689" t="str">
        <f t="shared" si="10"/>
        <v>Water Cooled Air Conditioner ≥240,000 to ≤300,000 Btu/h</v>
      </c>
      <c r="N142"/>
      <c r="O142"/>
    </row>
    <row r="143" spans="2:29" ht="14.4">
      <c r="B143" s="23">
        <v>19701</v>
      </c>
      <c r="C143" s="23">
        <v>19901</v>
      </c>
      <c r="E143"/>
      <c r="F143"/>
      <c r="H143" s="806"/>
      <c r="I143" s="408" t="s">
        <v>373</v>
      </c>
      <c r="J143" s="686" t="s">
        <v>332</v>
      </c>
      <c r="K143" s="686" t="s">
        <v>374</v>
      </c>
      <c r="L143" s="686" t="s">
        <v>332</v>
      </c>
      <c r="M143" s="689" t="str">
        <f t="shared" si="10"/>
        <v>Air Source Heat Pump &lt;65,000 Btu/h</v>
      </c>
      <c r="N143"/>
      <c r="O143"/>
    </row>
    <row r="144" spans="2:29" ht="14.4">
      <c r="B144" s="691">
        <v>19702</v>
      </c>
      <c r="C144" s="691">
        <v>19902</v>
      </c>
      <c r="E144"/>
      <c r="F144"/>
      <c r="H144" s="806"/>
      <c r="I144" s="408" t="s">
        <v>373</v>
      </c>
      <c r="J144" s="686" t="s">
        <v>332</v>
      </c>
      <c r="K144" s="686" t="s">
        <v>375</v>
      </c>
      <c r="L144" s="686" t="s">
        <v>332</v>
      </c>
      <c r="M144" s="689" t="str">
        <f t="shared" si="10"/>
        <v>Air Source Heat Pump ≥65,000 to &lt;135,000 Btu/h</v>
      </c>
      <c r="N144"/>
      <c r="O144"/>
    </row>
    <row r="145" spans="2:19" ht="14.4">
      <c r="B145" s="691">
        <v>19703</v>
      </c>
      <c r="C145" s="691">
        <v>19903</v>
      </c>
      <c r="E145"/>
      <c r="F145"/>
      <c r="H145" s="806"/>
      <c r="I145" s="408" t="s">
        <v>373</v>
      </c>
      <c r="J145" s="686" t="s">
        <v>332</v>
      </c>
      <c r="K145" s="686" t="s">
        <v>377</v>
      </c>
      <c r="L145" s="686" t="s">
        <v>332</v>
      </c>
      <c r="M145" s="689" t="str">
        <f t="shared" si="10"/>
        <v>Air Source Heat Pump ≥135,000 to &lt;240,000 Btu/h</v>
      </c>
      <c r="N145"/>
      <c r="O145"/>
    </row>
    <row r="146" spans="2:19" ht="14.4">
      <c r="B146" s="691">
        <v>19706</v>
      </c>
      <c r="C146" s="691">
        <v>19904</v>
      </c>
      <c r="E146"/>
      <c r="F146"/>
      <c r="H146" s="806"/>
      <c r="I146" s="408" t="s">
        <v>373</v>
      </c>
      <c r="J146" s="686" t="s">
        <v>332</v>
      </c>
      <c r="K146" s="686" t="s">
        <v>380</v>
      </c>
      <c r="L146" s="686" t="s">
        <v>332</v>
      </c>
      <c r="M146" s="689" t="str">
        <f t="shared" si="10"/>
        <v>Air Source Heat Pump ≥240,000 to ≤300,000 Btu/h</v>
      </c>
      <c r="N146"/>
      <c r="O146"/>
    </row>
    <row r="147" spans="2:19" ht="14.4">
      <c r="B147" s="691">
        <v>19707</v>
      </c>
      <c r="C147" s="691">
        <v>19905</v>
      </c>
      <c r="E147"/>
      <c r="F147"/>
      <c r="H147" s="806"/>
      <c r="I147" s="686" t="s">
        <v>216</v>
      </c>
      <c r="J147" s="686" t="s">
        <v>332</v>
      </c>
      <c r="K147" s="686" t="s">
        <v>374</v>
      </c>
      <c r="L147" s="686" t="s">
        <v>332</v>
      </c>
      <c r="M147" s="689" t="str">
        <f t="shared" si="10"/>
        <v>None &lt;65,000 Btu/h</v>
      </c>
      <c r="N147"/>
      <c r="O147"/>
    </row>
    <row r="148" spans="2:19" ht="14.4">
      <c r="B148" s="691">
        <v>19708</v>
      </c>
      <c r="C148" s="691">
        <v>19906</v>
      </c>
      <c r="E148"/>
      <c r="F148"/>
      <c r="H148" s="806"/>
      <c r="I148" s="686" t="s">
        <v>216</v>
      </c>
      <c r="J148" s="686" t="s">
        <v>332</v>
      </c>
      <c r="K148" s="686" t="s">
        <v>375</v>
      </c>
      <c r="L148" s="686" t="s">
        <v>332</v>
      </c>
      <c r="M148" s="689" t="str">
        <f t="shared" si="10"/>
        <v>None ≥65,000 to &lt;135,000 Btu/h</v>
      </c>
      <c r="N148"/>
      <c r="O148"/>
    </row>
    <row r="149" spans="2:19" ht="14.4">
      <c r="B149" s="691">
        <v>19709</v>
      </c>
      <c r="C149" s="691">
        <v>19934</v>
      </c>
      <c r="E149"/>
      <c r="F149"/>
      <c r="H149" s="806"/>
      <c r="I149" s="686" t="s">
        <v>216</v>
      </c>
      <c r="J149" s="686" t="s">
        <v>332</v>
      </c>
      <c r="K149" s="686" t="s">
        <v>377</v>
      </c>
      <c r="L149" s="686" t="s">
        <v>332</v>
      </c>
      <c r="M149" s="689" t="str">
        <f t="shared" si="10"/>
        <v>None ≥135,000 to &lt;240,000 Btu/h</v>
      </c>
      <c r="N149"/>
      <c r="O149"/>
    </row>
    <row r="150" spans="2:19" ht="14.4">
      <c r="B150" s="691">
        <v>19710</v>
      </c>
      <c r="C150" s="691">
        <v>19936</v>
      </c>
      <c r="E150"/>
      <c r="F150"/>
      <c r="H150" s="807"/>
      <c r="I150" s="686" t="s">
        <v>216</v>
      </c>
      <c r="J150" s="686" t="s">
        <v>332</v>
      </c>
      <c r="K150" s="686" t="s">
        <v>380</v>
      </c>
      <c r="L150" s="686" t="s">
        <v>332</v>
      </c>
      <c r="M150" s="689" t="str">
        <f t="shared" si="10"/>
        <v>None ≥240,000 to ≤300,000 Btu/h</v>
      </c>
      <c r="N150"/>
      <c r="O150"/>
    </row>
    <row r="151" spans="2:19" ht="14.4">
      <c r="B151" s="691">
        <v>19711</v>
      </c>
      <c r="C151" s="691">
        <v>19938</v>
      </c>
      <c r="E151"/>
      <c r="F151"/>
      <c r="I151" s="12"/>
      <c r="J151" s="12"/>
      <c r="K151" s="12"/>
      <c r="L151" s="12"/>
      <c r="M151" s="12"/>
      <c r="N151" s="12"/>
      <c r="O151" s="12"/>
      <c r="P151" s="12"/>
      <c r="Q151" s="12"/>
      <c r="R151" s="12"/>
      <c r="S151" s="12"/>
    </row>
    <row r="152" spans="2:19" ht="14.4">
      <c r="B152" s="691">
        <v>19712</v>
      </c>
      <c r="C152" s="691">
        <v>19943</v>
      </c>
      <c r="D152" s="823" t="s">
        <v>416</v>
      </c>
      <c r="E152" s="824"/>
      <c r="F152" s="824"/>
      <c r="H152"/>
      <c r="I152"/>
    </row>
    <row r="153" spans="2:19" ht="14.4">
      <c r="B153" s="691">
        <v>19713</v>
      </c>
      <c r="C153" s="691">
        <v>19946</v>
      </c>
      <c r="D153" s="823"/>
      <c r="E153" s="824"/>
      <c r="F153" s="824"/>
      <c r="H153"/>
      <c r="I153"/>
    </row>
    <row r="154" spans="2:19" ht="14.4">
      <c r="B154" s="691">
        <v>19714</v>
      </c>
      <c r="C154" s="691">
        <v>19952</v>
      </c>
      <c r="D154" s="823"/>
      <c r="E154" s="824"/>
      <c r="F154" s="824"/>
      <c r="H154"/>
      <c r="I154"/>
      <c r="J154"/>
      <c r="K154"/>
    </row>
    <row r="155" spans="2:19" ht="14.25" customHeight="1">
      <c r="B155" s="691">
        <v>19715</v>
      </c>
      <c r="C155" s="691">
        <v>19953</v>
      </c>
      <c r="E155"/>
      <c r="F155"/>
      <c r="G155"/>
      <c r="H155"/>
      <c r="I155"/>
      <c r="J155"/>
      <c r="K155"/>
    </row>
    <row r="156" spans="2:19" ht="14.25" customHeight="1">
      <c r="B156" s="691">
        <v>19716</v>
      </c>
      <c r="C156" s="691">
        <v>19954</v>
      </c>
      <c r="E156"/>
      <c r="F156"/>
      <c r="G156"/>
      <c r="H156"/>
      <c r="I156" s="1049" t="s">
        <v>947</v>
      </c>
      <c r="J156" s="1050"/>
      <c r="K156" s="1051"/>
    </row>
    <row r="157" spans="2:19" ht="14.4">
      <c r="B157" s="691">
        <v>19717</v>
      </c>
      <c r="C157" s="691">
        <v>19955</v>
      </c>
      <c r="E157"/>
      <c r="F157"/>
      <c r="G157"/>
      <c r="H157"/>
      <c r="I157" s="685" t="s">
        <v>118</v>
      </c>
      <c r="J157" s="685" t="s">
        <v>116</v>
      </c>
      <c r="K157" s="685" t="s">
        <v>117</v>
      </c>
    </row>
    <row r="158" spans="2:19" ht="14.4">
      <c r="B158" s="691">
        <v>19718</v>
      </c>
      <c r="C158" s="691">
        <v>19961</v>
      </c>
      <c r="E158"/>
      <c r="F158"/>
      <c r="G158"/>
      <c r="H158"/>
      <c r="I158" s="691" t="s">
        <v>128</v>
      </c>
      <c r="J158" s="691">
        <v>26</v>
      </c>
      <c r="K158" s="691">
        <v>22</v>
      </c>
    </row>
    <row r="159" spans="2:19" ht="14.4">
      <c r="B159" s="691">
        <v>19720</v>
      </c>
      <c r="C159" s="691">
        <v>19962</v>
      </c>
      <c r="E159"/>
      <c r="F159"/>
      <c r="G159"/>
      <c r="H159"/>
      <c r="I159" s="691" t="s">
        <v>948</v>
      </c>
      <c r="J159" s="691">
        <v>58</v>
      </c>
      <c r="K159" s="691">
        <v>50</v>
      </c>
    </row>
    <row r="160" spans="2:19" ht="14.4">
      <c r="B160" s="691">
        <v>19721</v>
      </c>
      <c r="C160" s="691">
        <v>19964</v>
      </c>
      <c r="E160"/>
      <c r="F160"/>
      <c r="G160"/>
      <c r="H160"/>
      <c r="I160" s="691" t="s">
        <v>949</v>
      </c>
      <c r="J160" s="691">
        <v>37</v>
      </c>
      <c r="K160" s="691">
        <v>32</v>
      </c>
    </row>
    <row r="161" spans="2:11" ht="14.4">
      <c r="B161" s="691">
        <v>19725</v>
      </c>
      <c r="C161" s="691">
        <v>19977</v>
      </c>
      <c r="E161"/>
      <c r="F161"/>
      <c r="G161"/>
      <c r="H161"/>
      <c r="I161" s="691" t="s">
        <v>272</v>
      </c>
      <c r="J161" s="691">
        <v>29</v>
      </c>
      <c r="K161" s="691">
        <v>25</v>
      </c>
    </row>
    <row r="162" spans="2:11" ht="14.4">
      <c r="B162" s="691">
        <v>19726</v>
      </c>
      <c r="C162" s="691">
        <v>19979</v>
      </c>
      <c r="E162"/>
      <c r="F162"/>
      <c r="G162"/>
      <c r="I162" s="691" t="s">
        <v>169</v>
      </c>
      <c r="J162" s="691">
        <v>24</v>
      </c>
      <c r="K162" s="691">
        <v>21</v>
      </c>
    </row>
    <row r="163" spans="2:11" ht="14.4">
      <c r="B163" s="691">
        <v>19730</v>
      </c>
      <c r="C163" s="691">
        <v>19980</v>
      </c>
      <c r="E163"/>
      <c r="F163"/>
      <c r="I163" s="691" t="s">
        <v>950</v>
      </c>
      <c r="J163" s="691">
        <v>40</v>
      </c>
      <c r="K163" s="691">
        <v>34</v>
      </c>
    </row>
    <row r="164" spans="2:11" ht="14.4">
      <c r="B164" s="691">
        <v>19731</v>
      </c>
      <c r="C164" s="692" t="s">
        <v>424</v>
      </c>
      <c r="E164"/>
      <c r="F164"/>
      <c r="I164" s="691" t="s">
        <v>186</v>
      </c>
      <c r="J164" s="691">
        <v>58</v>
      </c>
      <c r="K164" s="691">
        <v>50</v>
      </c>
    </row>
    <row r="165" spans="2:11" ht="14.4">
      <c r="B165" s="691">
        <v>19732</v>
      </c>
      <c r="C165" s="23">
        <v>19930</v>
      </c>
      <c r="E165"/>
      <c r="F165"/>
      <c r="I165" s="691" t="s">
        <v>201</v>
      </c>
      <c r="J165" s="691">
        <v>58</v>
      </c>
      <c r="K165" s="691">
        <v>50</v>
      </c>
    </row>
    <row r="166" spans="2:11" ht="14.4">
      <c r="B166" s="691">
        <v>19733</v>
      </c>
      <c r="C166" s="691">
        <v>19931</v>
      </c>
      <c r="E166"/>
      <c r="F166"/>
      <c r="I166" s="691" t="s">
        <v>951</v>
      </c>
      <c r="J166" s="691">
        <v>6</v>
      </c>
      <c r="K166" s="691">
        <v>5</v>
      </c>
    </row>
    <row r="167" spans="2:11" ht="14.4">
      <c r="B167" s="691">
        <v>19734</v>
      </c>
      <c r="C167" s="691">
        <v>19933</v>
      </c>
      <c r="E167"/>
      <c r="F167"/>
      <c r="I167" s="691" t="s">
        <v>206</v>
      </c>
      <c r="J167" s="691">
        <v>2</v>
      </c>
      <c r="K167" s="691">
        <v>2</v>
      </c>
    </row>
    <row r="168" spans="2:11" ht="14.4">
      <c r="B168" s="691">
        <v>19735</v>
      </c>
      <c r="C168" s="691">
        <v>19939</v>
      </c>
      <c r="E168"/>
      <c r="F168"/>
      <c r="I168" s="691" t="s">
        <v>133</v>
      </c>
      <c r="J168" s="691">
        <v>58</v>
      </c>
      <c r="K168" s="691">
        <v>50</v>
      </c>
    </row>
    <row r="169" spans="2:11" ht="14.4">
      <c r="B169" s="691">
        <v>19736</v>
      </c>
      <c r="C169" s="691">
        <v>19940</v>
      </c>
      <c r="E169"/>
      <c r="F169"/>
    </row>
    <row r="170" spans="2:11" ht="14.4">
      <c r="B170" s="691">
        <v>19801</v>
      </c>
      <c r="C170" s="691">
        <v>19941</v>
      </c>
      <c r="E170"/>
      <c r="F170"/>
    </row>
    <row r="171" spans="2:11" ht="14.4">
      <c r="B171" s="691">
        <v>19802</v>
      </c>
      <c r="C171" s="691">
        <v>19944</v>
      </c>
      <c r="E171"/>
      <c r="F171"/>
    </row>
    <row r="172" spans="2:11" ht="14.4">
      <c r="B172" s="691">
        <v>19803</v>
      </c>
      <c r="C172" s="691">
        <v>19945</v>
      </c>
      <c r="E172"/>
      <c r="F172"/>
      <c r="I172" s="395" t="s">
        <v>326</v>
      </c>
      <c r="J172"/>
    </row>
    <row r="173" spans="2:11" ht="14.4">
      <c r="B173" s="691">
        <v>19804</v>
      </c>
      <c r="C173" s="691">
        <v>19947</v>
      </c>
      <c r="E173"/>
      <c r="F173"/>
      <c r="I173" s="396">
        <v>6.1603915030086992E-4</v>
      </c>
      <c r="J173" s="397" t="s">
        <v>327</v>
      </c>
    </row>
    <row r="174" spans="2:11" ht="14.4">
      <c r="B174" s="691">
        <v>19805</v>
      </c>
      <c r="C174" s="691">
        <v>19950</v>
      </c>
      <c r="E174"/>
      <c r="F174"/>
      <c r="G174" s="1"/>
      <c r="I174" s="295">
        <v>5.3E-3</v>
      </c>
      <c r="J174" s="293" t="s">
        <v>328</v>
      </c>
    </row>
    <row r="175" spans="2:11" ht="14.4">
      <c r="B175" s="691">
        <v>19806</v>
      </c>
      <c r="C175" s="691">
        <v>19951</v>
      </c>
      <c r="E175"/>
      <c r="F175"/>
      <c r="I175" s="205">
        <f>I174*10</f>
        <v>5.2999999999999999E-2</v>
      </c>
      <c r="J175" s="294" t="s">
        <v>329</v>
      </c>
    </row>
    <row r="176" spans="2:11" ht="14.4">
      <c r="B176" s="691">
        <v>19807</v>
      </c>
      <c r="C176" s="691">
        <v>19956</v>
      </c>
      <c r="E176"/>
      <c r="F176"/>
    </row>
    <row r="177" spans="2:6" ht="14.4">
      <c r="B177" s="691">
        <v>19808</v>
      </c>
      <c r="C177" s="691">
        <v>19958</v>
      </c>
      <c r="E177"/>
      <c r="F177"/>
    </row>
    <row r="178" spans="2:6" ht="14.4">
      <c r="B178" s="691">
        <v>19809</v>
      </c>
      <c r="C178" s="691">
        <v>19960</v>
      </c>
      <c r="E178"/>
      <c r="F178"/>
    </row>
    <row r="179" spans="2:6" ht="14.4">
      <c r="B179" s="691">
        <v>19810</v>
      </c>
      <c r="C179" s="691">
        <v>19963</v>
      </c>
      <c r="E179"/>
      <c r="F179"/>
    </row>
    <row r="180" spans="2:6" ht="14.4">
      <c r="B180" s="691">
        <v>19850</v>
      </c>
      <c r="C180" s="691">
        <v>19966</v>
      </c>
      <c r="E180"/>
      <c r="F180"/>
    </row>
    <row r="181" spans="2:6" ht="14.4">
      <c r="B181" s="691">
        <v>19880</v>
      </c>
      <c r="C181" s="691">
        <v>19967</v>
      </c>
      <c r="E181"/>
      <c r="F181"/>
    </row>
    <row r="182" spans="2:6" ht="14.4">
      <c r="B182" s="691">
        <v>19884</v>
      </c>
      <c r="C182" s="691">
        <v>19968</v>
      </c>
      <c r="E182"/>
      <c r="F182"/>
    </row>
    <row r="183" spans="2:6" ht="14.4">
      <c r="B183" s="691">
        <v>19885</v>
      </c>
      <c r="C183" s="691">
        <v>19969</v>
      </c>
      <c r="E183"/>
      <c r="F183"/>
    </row>
    <row r="184" spans="2:6" ht="14.4">
      <c r="B184" s="691">
        <v>19886</v>
      </c>
      <c r="C184" s="691">
        <v>19970</v>
      </c>
      <c r="E184"/>
      <c r="F184"/>
    </row>
    <row r="185" spans="2:6" ht="14.4">
      <c r="B185" s="691">
        <v>19887</v>
      </c>
      <c r="C185" s="691">
        <v>19971</v>
      </c>
      <c r="E185"/>
      <c r="F185"/>
    </row>
    <row r="186" spans="2:6" ht="14.4">
      <c r="B186" s="691">
        <v>19889</v>
      </c>
      <c r="C186" s="691">
        <v>19973</v>
      </c>
      <c r="E186"/>
      <c r="F186"/>
    </row>
    <row r="187" spans="2:6" ht="14.4">
      <c r="B187" s="691">
        <v>19890</v>
      </c>
      <c r="C187" s="691">
        <v>19975</v>
      </c>
      <c r="E187"/>
      <c r="F187"/>
    </row>
    <row r="188" spans="2:6" ht="14.4">
      <c r="B188" s="691">
        <v>19891</v>
      </c>
      <c r="C188" s="24"/>
      <c r="E188"/>
      <c r="F188"/>
    </row>
    <row r="189" spans="2:6" ht="14.4">
      <c r="B189" s="691">
        <v>19892</v>
      </c>
      <c r="C189" s="24"/>
      <c r="E189"/>
      <c r="F189"/>
    </row>
    <row r="190" spans="2:6" ht="14.4">
      <c r="B190" s="691">
        <v>19893</v>
      </c>
      <c r="C190" s="24"/>
      <c r="E190"/>
      <c r="F190"/>
    </row>
    <row r="191" spans="2:6" ht="14.4">
      <c r="B191" s="691">
        <v>19894</v>
      </c>
      <c r="C191" s="24"/>
      <c r="E191"/>
      <c r="F191"/>
    </row>
    <row r="192" spans="2:6" ht="14.4">
      <c r="B192" s="691">
        <v>19895</v>
      </c>
      <c r="C192" s="24"/>
      <c r="E192"/>
      <c r="F192"/>
    </row>
    <row r="193" spans="2:6" ht="14.4">
      <c r="B193" s="691">
        <v>19896</v>
      </c>
      <c r="C193" s="24"/>
      <c r="E193"/>
      <c r="F193"/>
    </row>
    <row r="194" spans="2:6" ht="14.4">
      <c r="B194" s="691">
        <v>19897</v>
      </c>
      <c r="C194" s="24"/>
      <c r="E194"/>
      <c r="F194"/>
    </row>
    <row r="195" spans="2:6" ht="14.4">
      <c r="B195" s="691">
        <v>19898</v>
      </c>
      <c r="C195" s="24"/>
      <c r="E195"/>
      <c r="F195"/>
    </row>
    <row r="196" spans="2:6" ht="14.4">
      <c r="B196" s="691">
        <v>19899</v>
      </c>
      <c r="C196" s="24"/>
      <c r="E196"/>
      <c r="F196"/>
    </row>
    <row r="197" spans="2:6" ht="14.4">
      <c r="D197"/>
      <c r="E197"/>
      <c r="F197"/>
    </row>
    <row r="198" spans="2:6" ht="14.4">
      <c r="B198" s="656" t="s">
        <v>425</v>
      </c>
      <c r="F198"/>
    </row>
    <row r="199" spans="2:6" ht="14.4">
      <c r="B199" s="658" t="s">
        <v>426</v>
      </c>
      <c r="F199"/>
    </row>
    <row r="200" spans="2:6" ht="14.4">
      <c r="B200" s="658" t="s">
        <v>427</v>
      </c>
      <c r="F200"/>
    </row>
    <row r="201" spans="2:6" ht="14.4">
      <c r="B201" s="658" t="s">
        <v>428</v>
      </c>
      <c r="F201"/>
    </row>
    <row r="202" spans="2:6" ht="14.4">
      <c r="F202"/>
    </row>
    <row r="203" spans="2:6" ht="14.4">
      <c r="B203" s="656" t="s">
        <v>429</v>
      </c>
      <c r="C203" s="656" t="s">
        <v>430</v>
      </c>
      <c r="D203" s="656" t="s">
        <v>431</v>
      </c>
      <c r="E203" s="656" t="s">
        <v>432</v>
      </c>
      <c r="F203"/>
    </row>
    <row r="204" spans="2:6" ht="14.4">
      <c r="B204" s="658" t="s">
        <v>433</v>
      </c>
      <c r="C204" s="693">
        <v>0.05</v>
      </c>
      <c r="D204" s="693">
        <v>0.04</v>
      </c>
      <c r="E204" s="693">
        <v>0.05</v>
      </c>
      <c r="F204"/>
    </row>
    <row r="205" spans="2:6" ht="14.4">
      <c r="B205" s="658" t="s">
        <v>427</v>
      </c>
      <c r="C205" s="693">
        <v>0.03</v>
      </c>
      <c r="D205" s="693">
        <v>0.02</v>
      </c>
      <c r="E205" s="693">
        <v>0.02</v>
      </c>
      <c r="F205"/>
    </row>
    <row r="206" spans="2:6" ht="14.4">
      <c r="B206" s="658" t="s">
        <v>434</v>
      </c>
      <c r="C206" s="693">
        <v>0.03</v>
      </c>
      <c r="D206" s="693">
        <v>0.02</v>
      </c>
      <c r="E206" s="693">
        <v>0.02</v>
      </c>
      <c r="F206"/>
    </row>
    <row r="207" spans="2:6" ht="14.4">
      <c r="B207" s="32"/>
      <c r="C207" s="32"/>
      <c r="D207" s="32"/>
      <c r="E207" s="32"/>
      <c r="F207"/>
    </row>
    <row r="208" spans="2:6" ht="14.4">
      <c r="B208" s="656" t="s">
        <v>435</v>
      </c>
      <c r="C208" s="656" t="s">
        <v>436</v>
      </c>
      <c r="D208" s="32"/>
      <c r="E208" s="79"/>
      <c r="F208"/>
    </row>
    <row r="209" spans="2:13" ht="14.4">
      <c r="B209" s="658" t="s">
        <v>216</v>
      </c>
      <c r="C209" s="658" t="s">
        <v>216</v>
      </c>
      <c r="D209" s="32"/>
      <c r="E209" s="79"/>
      <c r="F209"/>
    </row>
    <row r="210" spans="2:13" ht="14.4">
      <c r="B210" s="658" t="s">
        <v>373</v>
      </c>
      <c r="C210" s="658" t="s">
        <v>373</v>
      </c>
      <c r="D210" s="32"/>
      <c r="E210" s="79"/>
      <c r="F210"/>
    </row>
    <row r="211" spans="2:13" ht="14.4">
      <c r="B211" s="658" t="s">
        <v>395</v>
      </c>
      <c r="C211" s="658" t="s">
        <v>249</v>
      </c>
      <c r="D211" s="32"/>
      <c r="E211" s="32"/>
      <c r="F211"/>
    </row>
    <row r="212" spans="2:13" ht="14.4">
      <c r="B212" s="658" t="s">
        <v>400</v>
      </c>
      <c r="C212" s="658" t="s">
        <v>388</v>
      </c>
      <c r="D212" s="32"/>
      <c r="E212" s="32"/>
      <c r="F212"/>
    </row>
    <row r="213" spans="2:13" ht="15" thickBot="1">
      <c r="D213"/>
      <c r="E213"/>
      <c r="F213"/>
    </row>
    <row r="214" spans="2:13" ht="15" thickBot="1">
      <c r="B214" s="820" t="s">
        <v>437</v>
      </c>
      <c r="C214" s="821"/>
      <c r="D214" s="822"/>
      <c r="E214" s="32"/>
      <c r="F214" s="32"/>
      <c r="G214" s="33" t="s">
        <v>438</v>
      </c>
      <c r="H214" s="34" t="s">
        <v>439</v>
      </c>
      <c r="I214" s="35" t="s">
        <v>63</v>
      </c>
      <c r="J214" s="32"/>
      <c r="K214" s="817" t="s">
        <v>440</v>
      </c>
      <c r="L214" s="818"/>
      <c r="M214" s="819"/>
    </row>
    <row r="215" spans="2:13" ht="15" thickBot="1">
      <c r="B215" s="90" t="s">
        <v>441</v>
      </c>
      <c r="C215" s="91"/>
      <c r="D215" s="92" t="s">
        <v>442</v>
      </c>
      <c r="E215" s="32"/>
      <c r="F215" s="32"/>
      <c r="G215" s="36">
        <v>2</v>
      </c>
      <c r="H215" s="37">
        <v>500</v>
      </c>
      <c r="I215" s="38" t="s">
        <v>443</v>
      </c>
      <c r="J215" s="32"/>
      <c r="K215" s="39" t="s">
        <v>444</v>
      </c>
      <c r="L215" s="40" t="s">
        <v>445</v>
      </c>
      <c r="M215" s="41" t="s">
        <v>446</v>
      </c>
    </row>
    <row r="216" spans="2:13" ht="15" thickBot="1">
      <c r="B216" s="694" t="s">
        <v>447</v>
      </c>
      <c r="C216" s="695" t="s">
        <v>448</v>
      </c>
      <c r="D216" s="696"/>
      <c r="E216" s="31"/>
      <c r="F216" s="32"/>
      <c r="G216" s="697">
        <v>3</v>
      </c>
      <c r="H216" s="698">
        <v>600</v>
      </c>
      <c r="I216" s="699" t="s">
        <v>443</v>
      </c>
      <c r="J216" s="32"/>
      <c r="K216" s="46" t="s">
        <v>449</v>
      </c>
      <c r="L216" s="47">
        <v>0.63300000000000001</v>
      </c>
      <c r="M216" s="48">
        <v>0.46</v>
      </c>
    </row>
    <row r="217" spans="2:13" ht="15" thickBot="1">
      <c r="B217" s="49">
        <v>0</v>
      </c>
      <c r="C217" s="50">
        <v>10</v>
      </c>
      <c r="D217" s="51">
        <v>0</v>
      </c>
      <c r="E217" s="32"/>
      <c r="F217" s="32"/>
      <c r="G217" s="697">
        <v>4</v>
      </c>
      <c r="H217" s="698">
        <v>700</v>
      </c>
      <c r="I217" s="699" t="s">
        <v>443</v>
      </c>
      <c r="J217" s="32"/>
      <c r="K217" s="700" t="s">
        <v>450</v>
      </c>
      <c r="L217" s="701">
        <v>0.65200000000000002</v>
      </c>
      <c r="M217" s="702">
        <v>0</v>
      </c>
    </row>
    <row r="218" spans="2:13" ht="14.4">
      <c r="B218" s="703">
        <v>10</v>
      </c>
      <c r="C218" s="704">
        <v>20</v>
      </c>
      <c r="D218" s="705">
        <v>0.01</v>
      </c>
      <c r="E218" s="32"/>
      <c r="F218" s="32"/>
      <c r="G218" s="697">
        <v>5</v>
      </c>
      <c r="H218" s="698">
        <v>800</v>
      </c>
      <c r="I218" s="699" t="s">
        <v>443</v>
      </c>
      <c r="J218" s="32"/>
      <c r="K218" s="60" t="s">
        <v>451</v>
      </c>
      <c r="L218" s="32"/>
      <c r="M218" s="32"/>
    </row>
    <row r="219" spans="2:13" ht="14.4">
      <c r="B219" s="703">
        <v>20</v>
      </c>
      <c r="C219" s="704">
        <v>30</v>
      </c>
      <c r="D219" s="705">
        <v>5.5E-2</v>
      </c>
      <c r="E219" s="32"/>
      <c r="F219" s="32"/>
      <c r="G219" s="697">
        <v>7.5</v>
      </c>
      <c r="H219" s="698">
        <v>900</v>
      </c>
      <c r="I219" s="699" t="s">
        <v>443</v>
      </c>
      <c r="J219" s="32"/>
      <c r="K219" s="32"/>
      <c r="L219" s="32"/>
      <c r="M219" s="32"/>
    </row>
    <row r="220" spans="2:13" ht="14.4">
      <c r="B220" s="703">
        <v>30</v>
      </c>
      <c r="C220" s="704">
        <v>40</v>
      </c>
      <c r="D220" s="705">
        <v>0.155</v>
      </c>
      <c r="E220" s="32"/>
      <c r="F220" s="32"/>
      <c r="G220" s="697">
        <v>10</v>
      </c>
      <c r="H220" s="698">
        <v>1100</v>
      </c>
      <c r="I220" s="699" t="s">
        <v>443</v>
      </c>
      <c r="J220" s="32"/>
      <c r="K220" s="32"/>
      <c r="L220" s="32"/>
      <c r="M220" s="32"/>
    </row>
    <row r="221" spans="2:13" ht="14.4">
      <c r="B221" s="703">
        <v>40</v>
      </c>
      <c r="C221" s="704">
        <v>50</v>
      </c>
      <c r="D221" s="705">
        <v>0.22</v>
      </c>
      <c r="E221" s="32"/>
      <c r="F221" s="32"/>
      <c r="G221" s="697">
        <v>15</v>
      </c>
      <c r="H221" s="698">
        <v>1350</v>
      </c>
      <c r="I221" s="699" t="s">
        <v>443</v>
      </c>
      <c r="J221" s="32"/>
      <c r="K221" s="65" t="s">
        <v>452</v>
      </c>
      <c r="L221" s="32"/>
      <c r="M221" s="32"/>
    </row>
    <row r="222" spans="2:13" ht="14.4">
      <c r="B222" s="703">
        <v>50</v>
      </c>
      <c r="C222" s="704">
        <v>60</v>
      </c>
      <c r="D222" s="705">
        <v>0.25</v>
      </c>
      <c r="E222" s="32"/>
      <c r="F222" s="32"/>
      <c r="G222" s="697">
        <v>20</v>
      </c>
      <c r="H222" s="698">
        <v>1500</v>
      </c>
      <c r="I222" s="699" t="s">
        <v>443</v>
      </c>
      <c r="J222" s="32"/>
      <c r="K222" s="32" t="s">
        <v>453</v>
      </c>
      <c r="L222" s="32"/>
      <c r="M222" s="32"/>
    </row>
    <row r="223" spans="2:13" ht="14.4">
      <c r="B223" s="703">
        <v>60</v>
      </c>
      <c r="C223" s="704">
        <v>70</v>
      </c>
      <c r="D223" s="705">
        <v>0.19</v>
      </c>
      <c r="E223" s="32"/>
      <c r="F223" s="32"/>
      <c r="G223" s="697">
        <v>25</v>
      </c>
      <c r="H223" s="698">
        <v>1600</v>
      </c>
      <c r="I223" s="699" t="s">
        <v>443</v>
      </c>
      <c r="J223" s="32"/>
      <c r="K223" s="32" t="s">
        <v>449</v>
      </c>
      <c r="L223" s="32"/>
      <c r="M223" s="32"/>
    </row>
    <row r="224" spans="2:13" ht="14.4">
      <c r="B224" s="703">
        <v>70</v>
      </c>
      <c r="C224" s="704">
        <v>80</v>
      </c>
      <c r="D224" s="705">
        <v>8.5000000000000006E-2</v>
      </c>
      <c r="E224" s="32"/>
      <c r="F224" s="32"/>
      <c r="G224" s="697">
        <v>30</v>
      </c>
      <c r="H224" s="698">
        <v>1800</v>
      </c>
      <c r="I224" s="699" t="s">
        <v>443</v>
      </c>
      <c r="J224" s="32"/>
      <c r="K224" s="32" t="s">
        <v>454</v>
      </c>
      <c r="L224" s="32"/>
      <c r="M224" s="32"/>
    </row>
    <row r="225" spans="2:22" ht="15" thickBot="1">
      <c r="B225" s="703">
        <v>80</v>
      </c>
      <c r="C225" s="704">
        <v>90</v>
      </c>
      <c r="D225" s="705">
        <v>0.03</v>
      </c>
      <c r="E225" s="32"/>
      <c r="F225" s="32"/>
      <c r="G225" s="697">
        <v>40</v>
      </c>
      <c r="H225" s="698">
        <v>2000</v>
      </c>
      <c r="I225" s="699" t="s">
        <v>443</v>
      </c>
      <c r="J225" s="32"/>
      <c r="K225" s="32"/>
      <c r="L225" s="32"/>
      <c r="M225" s="32"/>
    </row>
    <row r="226" spans="2:22" ht="15" thickBot="1">
      <c r="B226" s="706">
        <v>90</v>
      </c>
      <c r="C226" s="707">
        <v>100</v>
      </c>
      <c r="D226" s="708">
        <v>5.0000000000000001E-3</v>
      </c>
      <c r="E226" s="32"/>
      <c r="F226" s="32"/>
      <c r="G226" s="697">
        <v>50</v>
      </c>
      <c r="H226" s="698">
        <v>2500</v>
      </c>
      <c r="I226" s="699" t="s">
        <v>443</v>
      </c>
      <c r="J226" s="32"/>
      <c r="K226" s="820" t="s">
        <v>455</v>
      </c>
      <c r="L226" s="821"/>
      <c r="M226" s="821"/>
      <c r="N226" s="821"/>
      <c r="O226" s="821"/>
      <c r="P226" s="821"/>
      <c r="Q226" s="821"/>
      <c r="R226" s="821"/>
      <c r="S226" s="821"/>
      <c r="T226" s="821"/>
      <c r="U226" s="822"/>
      <c r="V226" s="32"/>
    </row>
    <row r="227" spans="2:22" ht="14.4">
      <c r="B227" s="60" t="s">
        <v>456</v>
      </c>
      <c r="C227" s="32"/>
      <c r="D227" s="32"/>
      <c r="E227" s="32"/>
      <c r="F227" s="32"/>
      <c r="G227" s="697">
        <v>60</v>
      </c>
      <c r="H227" s="698">
        <v>3000</v>
      </c>
      <c r="I227" s="699" t="s">
        <v>443</v>
      </c>
      <c r="J227" s="32"/>
      <c r="K227" s="86" t="s">
        <v>282</v>
      </c>
      <c r="L227" s="88" t="s">
        <v>457</v>
      </c>
      <c r="M227" s="89"/>
      <c r="N227" s="89"/>
      <c r="O227" s="89"/>
      <c r="P227" s="89"/>
      <c r="Q227" s="89"/>
      <c r="R227" s="89"/>
      <c r="S227" s="89"/>
      <c r="T227" s="89"/>
      <c r="U227" s="137"/>
      <c r="V227" s="798" t="s">
        <v>458</v>
      </c>
    </row>
    <row r="228" spans="2:22" ht="15" thickBot="1">
      <c r="B228" s="32"/>
      <c r="C228" s="32"/>
      <c r="D228" s="32"/>
      <c r="E228" s="32"/>
      <c r="F228" s="32"/>
      <c r="G228" s="697">
        <v>75</v>
      </c>
      <c r="H228" s="698">
        <v>3750</v>
      </c>
      <c r="I228" s="699" t="s">
        <v>443</v>
      </c>
      <c r="J228" s="32"/>
      <c r="K228" s="87"/>
      <c r="L228" s="416">
        <v>0.1</v>
      </c>
      <c r="M228" s="416">
        <v>0.2</v>
      </c>
      <c r="N228" s="416">
        <v>0.3</v>
      </c>
      <c r="O228" s="416">
        <v>0.4</v>
      </c>
      <c r="P228" s="416">
        <v>0.5</v>
      </c>
      <c r="Q228" s="416">
        <v>0.6</v>
      </c>
      <c r="R228" s="416">
        <v>0.7</v>
      </c>
      <c r="S228" s="416">
        <v>0.8</v>
      </c>
      <c r="T228" s="417">
        <v>0.9</v>
      </c>
      <c r="U228" s="332">
        <v>1</v>
      </c>
      <c r="V228" s="798"/>
    </row>
    <row r="229" spans="2:22" ht="29.4" thickBot="1">
      <c r="B229" s="32"/>
      <c r="C229" s="32"/>
      <c r="D229" s="32"/>
      <c r="E229" s="32"/>
      <c r="F229" s="32"/>
      <c r="G229" s="697">
        <v>100</v>
      </c>
      <c r="H229" s="698">
        <v>5000</v>
      </c>
      <c r="I229" s="699" t="s">
        <v>443</v>
      </c>
      <c r="J229" s="32"/>
      <c r="K229" s="55" t="s">
        <v>442</v>
      </c>
      <c r="L229" s="56">
        <f>D217</f>
        <v>0</v>
      </c>
      <c r="M229" s="56">
        <f>D218</f>
        <v>0.01</v>
      </c>
      <c r="N229" s="56">
        <f>D219</f>
        <v>5.5E-2</v>
      </c>
      <c r="O229" s="56">
        <f>D220</f>
        <v>0.155</v>
      </c>
      <c r="P229" s="56">
        <f>D221</f>
        <v>0.22</v>
      </c>
      <c r="Q229" s="56">
        <f>D222</f>
        <v>0.25</v>
      </c>
      <c r="R229" s="56">
        <f>D223</f>
        <v>0.19</v>
      </c>
      <c r="S229" s="56">
        <f>D224</f>
        <v>8.5000000000000006E-2</v>
      </c>
      <c r="T229" s="57">
        <f>D225</f>
        <v>0.03</v>
      </c>
      <c r="U229" s="138">
        <f>D226</f>
        <v>5.0000000000000001E-3</v>
      </c>
      <c r="V229" s="798"/>
    </row>
    <row r="230" spans="2:22" ht="45.75" customHeight="1" thickBot="1">
      <c r="B230" s="814" t="s">
        <v>459</v>
      </c>
      <c r="C230" s="815"/>
      <c r="D230" s="815"/>
      <c r="E230" s="816"/>
      <c r="F230" s="32"/>
      <c r="G230" s="709" t="s">
        <v>460</v>
      </c>
      <c r="H230" s="710">
        <v>50</v>
      </c>
      <c r="I230" s="711" t="s">
        <v>461</v>
      </c>
      <c r="J230" s="32"/>
      <c r="K230" s="61" t="s">
        <v>462</v>
      </c>
      <c r="L230" s="62">
        <v>1</v>
      </c>
      <c r="M230" s="62">
        <v>1</v>
      </c>
      <c r="N230" s="62">
        <v>1</v>
      </c>
      <c r="O230" s="62">
        <v>1</v>
      </c>
      <c r="P230" s="62">
        <v>1</v>
      </c>
      <c r="Q230" s="62">
        <v>1</v>
      </c>
      <c r="R230" s="62">
        <v>1</v>
      </c>
      <c r="S230" s="62">
        <v>1</v>
      </c>
      <c r="T230" s="63">
        <v>1</v>
      </c>
      <c r="U230" s="139">
        <v>1</v>
      </c>
      <c r="V230" s="418">
        <f>SUMPRODUCT(FlowFraction,NoControl)</f>
        <v>0.99999999999999989</v>
      </c>
    </row>
    <row r="231" spans="2:22" ht="29.4" thickBot="1">
      <c r="B231" s="712" t="s">
        <v>269</v>
      </c>
      <c r="C231" s="713" t="s">
        <v>463</v>
      </c>
      <c r="D231" s="713" t="s">
        <v>464</v>
      </c>
      <c r="E231" s="696" t="s">
        <v>465</v>
      </c>
      <c r="F231" s="32"/>
      <c r="G231" s="32"/>
      <c r="H231" s="32"/>
      <c r="I231" s="32"/>
      <c r="J231" s="32"/>
      <c r="K231" s="714" t="s">
        <v>466</v>
      </c>
      <c r="L231" s="715">
        <v>0.46</v>
      </c>
      <c r="M231" s="715">
        <v>0.55000000000000004</v>
      </c>
      <c r="N231" s="715">
        <v>0.63</v>
      </c>
      <c r="O231" s="715">
        <v>0.7</v>
      </c>
      <c r="P231" s="715">
        <v>0.77</v>
      </c>
      <c r="Q231" s="715">
        <v>0.83</v>
      </c>
      <c r="R231" s="715">
        <v>0.88</v>
      </c>
      <c r="S231" s="715">
        <v>0.93</v>
      </c>
      <c r="T231" s="716">
        <v>0.97</v>
      </c>
      <c r="U231" s="333">
        <v>1</v>
      </c>
      <c r="V231" s="418">
        <f>SUMPRODUCT(FlowFraction,DischargeDamper)</f>
        <v>0.80590000000000006</v>
      </c>
    </row>
    <row r="232" spans="2:22" ht="14.4">
      <c r="B232" s="61" t="s">
        <v>467</v>
      </c>
      <c r="C232" s="62">
        <v>4056</v>
      </c>
      <c r="D232" s="62">
        <v>1878</v>
      </c>
      <c r="E232" s="76">
        <v>5376</v>
      </c>
      <c r="F232" s="32"/>
      <c r="G232" s="32"/>
      <c r="H232" s="32"/>
      <c r="I232" s="32"/>
      <c r="J232" s="32"/>
      <c r="K232" s="714" t="s">
        <v>468</v>
      </c>
      <c r="L232" s="715">
        <v>0.53</v>
      </c>
      <c r="M232" s="715">
        <v>0.53</v>
      </c>
      <c r="N232" s="715">
        <v>0.56999999999999995</v>
      </c>
      <c r="O232" s="715">
        <v>0.64</v>
      </c>
      <c r="P232" s="715">
        <v>0.72</v>
      </c>
      <c r="Q232" s="715">
        <v>0.8</v>
      </c>
      <c r="R232" s="715">
        <v>0.89</v>
      </c>
      <c r="S232" s="715">
        <v>0.96</v>
      </c>
      <c r="T232" s="716">
        <v>1.02</v>
      </c>
      <c r="U232" s="333">
        <v>1.05</v>
      </c>
      <c r="V232" s="418">
        <f>SUMPRODUCT(FlowFraction,OutletDamper)</f>
        <v>0.78079999999999994</v>
      </c>
    </row>
    <row r="233" spans="2:22" ht="14.4">
      <c r="B233" s="714" t="s">
        <v>469</v>
      </c>
      <c r="C233" s="715">
        <v>2854</v>
      </c>
      <c r="D233" s="715">
        <v>1445</v>
      </c>
      <c r="E233" s="717">
        <v>5376</v>
      </c>
      <c r="F233" s="32"/>
      <c r="G233" s="32"/>
      <c r="H233" s="32"/>
      <c r="I233" s="32"/>
      <c r="J233" s="32"/>
      <c r="K233" s="714" t="s">
        <v>470</v>
      </c>
      <c r="L233" s="715">
        <v>0.56000000000000005</v>
      </c>
      <c r="M233" s="715">
        <v>0.6</v>
      </c>
      <c r="N233" s="715">
        <v>0.62</v>
      </c>
      <c r="O233" s="715">
        <v>0.64</v>
      </c>
      <c r="P233" s="715">
        <v>0.66</v>
      </c>
      <c r="Q233" s="715">
        <v>0.69</v>
      </c>
      <c r="R233" s="715">
        <v>0.74</v>
      </c>
      <c r="S233" s="715">
        <v>0.81</v>
      </c>
      <c r="T233" s="716">
        <v>0.92</v>
      </c>
      <c r="U233" s="333">
        <v>1.07</v>
      </c>
      <c r="V233" s="418">
        <f>SUMPRODUCT(FlowFraction,InletDamper)</f>
        <v>0.6993999999999998</v>
      </c>
    </row>
    <row r="234" spans="2:22" ht="14.4">
      <c r="B234" s="714" t="s">
        <v>471</v>
      </c>
      <c r="C234" s="715">
        <v>3748</v>
      </c>
      <c r="D234" s="715">
        <v>1767</v>
      </c>
      <c r="E234" s="717">
        <v>5376</v>
      </c>
      <c r="F234" s="32"/>
      <c r="G234" s="32"/>
      <c r="H234" s="32"/>
      <c r="I234" s="32"/>
      <c r="J234" s="32"/>
      <c r="K234" s="714" t="s">
        <v>472</v>
      </c>
      <c r="L234" s="715">
        <v>0.53</v>
      </c>
      <c r="M234" s="715">
        <v>0.56000000000000005</v>
      </c>
      <c r="N234" s="715">
        <v>0.56999999999999995</v>
      </c>
      <c r="O234" s="715">
        <v>0.59</v>
      </c>
      <c r="P234" s="715">
        <v>0.6</v>
      </c>
      <c r="Q234" s="715">
        <v>0.62</v>
      </c>
      <c r="R234" s="715">
        <v>0.67</v>
      </c>
      <c r="S234" s="715">
        <v>0.74</v>
      </c>
      <c r="T234" s="716">
        <v>0.85</v>
      </c>
      <c r="U234" s="333">
        <v>1</v>
      </c>
      <c r="V234" s="418">
        <f>SUMPRODUCT(FlowFraction,InletGuideVane)</f>
        <v>0.63609999999999989</v>
      </c>
    </row>
    <row r="235" spans="2:22" ht="14.4">
      <c r="B235" s="714" t="s">
        <v>473</v>
      </c>
      <c r="C235" s="715">
        <v>1955</v>
      </c>
      <c r="D235" s="715">
        <v>1121</v>
      </c>
      <c r="E235" s="717">
        <v>5376</v>
      </c>
      <c r="F235" s="32"/>
      <c r="G235" s="32"/>
      <c r="H235" s="32"/>
      <c r="I235" s="32"/>
      <c r="J235" s="32"/>
      <c r="K235" s="714" t="s">
        <v>474</v>
      </c>
      <c r="L235" s="715">
        <v>0.38</v>
      </c>
      <c r="M235" s="715">
        <v>0.4</v>
      </c>
      <c r="N235" s="715">
        <v>0.42</v>
      </c>
      <c r="O235" s="715">
        <v>0.44</v>
      </c>
      <c r="P235" s="715">
        <v>0.48</v>
      </c>
      <c r="Q235" s="715">
        <v>0.53</v>
      </c>
      <c r="R235" s="715">
        <v>0.6</v>
      </c>
      <c r="S235" s="715">
        <v>0.7</v>
      </c>
      <c r="T235" s="716">
        <v>0.83</v>
      </c>
      <c r="U235" s="333">
        <v>0.99</v>
      </c>
      <c r="V235" s="418">
        <f>SUMPRODUCT(FlowFraction,InletVaneDamper)</f>
        <v>0.53675000000000006</v>
      </c>
    </row>
    <row r="236" spans="2:22" ht="14.4">
      <c r="B236" s="714" t="s">
        <v>475</v>
      </c>
      <c r="C236" s="715">
        <v>6376</v>
      </c>
      <c r="D236" s="715">
        <v>2713</v>
      </c>
      <c r="E236" s="717">
        <v>5376</v>
      </c>
      <c r="F236" s="32"/>
      <c r="G236" s="32"/>
      <c r="H236" s="32"/>
      <c r="I236" s="32"/>
      <c r="J236" s="32"/>
      <c r="K236" s="714" t="s">
        <v>476</v>
      </c>
      <c r="L236" s="715">
        <v>0.22</v>
      </c>
      <c r="M236" s="715">
        <v>0.26</v>
      </c>
      <c r="N236" s="715">
        <v>0.3</v>
      </c>
      <c r="O236" s="715">
        <v>0.37</v>
      </c>
      <c r="P236" s="715">
        <v>0.45</v>
      </c>
      <c r="Q236" s="715">
        <v>0.54</v>
      </c>
      <c r="R236" s="715">
        <v>0.65</v>
      </c>
      <c r="S236" s="715">
        <v>0.77</v>
      </c>
      <c r="T236" s="716">
        <v>0.91</v>
      </c>
      <c r="U236" s="333">
        <v>1.06</v>
      </c>
      <c r="V236" s="418">
        <f>SUMPRODUCT(FlowFraction,OutletDamperFCFans)</f>
        <v>0.53200000000000003</v>
      </c>
    </row>
    <row r="237" spans="2:22" ht="14.4">
      <c r="B237" s="714" t="s">
        <v>477</v>
      </c>
      <c r="C237" s="715">
        <v>2586</v>
      </c>
      <c r="D237" s="715">
        <v>1348</v>
      </c>
      <c r="E237" s="717">
        <v>5376</v>
      </c>
      <c r="F237" s="32"/>
      <c r="G237" s="32"/>
      <c r="H237" s="32"/>
      <c r="I237" s="32"/>
      <c r="J237" s="32"/>
      <c r="K237" s="714" t="s">
        <v>478</v>
      </c>
      <c r="L237" s="715">
        <v>0.17</v>
      </c>
      <c r="M237" s="715">
        <v>0.2</v>
      </c>
      <c r="N237" s="715">
        <v>0.25</v>
      </c>
      <c r="O237" s="715">
        <v>0.32</v>
      </c>
      <c r="P237" s="715">
        <v>0.41</v>
      </c>
      <c r="Q237" s="715">
        <v>0.51</v>
      </c>
      <c r="R237" s="715">
        <v>0.63</v>
      </c>
      <c r="S237" s="715">
        <v>0.76</v>
      </c>
      <c r="T237" s="716">
        <v>0.9</v>
      </c>
      <c r="U237" s="333">
        <v>1.04</v>
      </c>
      <c r="V237" s="418">
        <f>SUMPRODUCT(FlowFraction,EddyCurrentDrives)</f>
        <v>0.49954999999999994</v>
      </c>
    </row>
    <row r="238" spans="2:22" ht="14.4">
      <c r="B238" s="714" t="s">
        <v>479</v>
      </c>
      <c r="C238" s="715">
        <v>3066</v>
      </c>
      <c r="D238" s="715">
        <v>1521</v>
      </c>
      <c r="E238" s="717">
        <v>5376</v>
      </c>
      <c r="F238" s="32"/>
      <c r="G238" s="32"/>
      <c r="H238" s="32"/>
      <c r="I238" s="32"/>
      <c r="J238" s="32"/>
      <c r="K238" s="714" t="s">
        <v>480</v>
      </c>
      <c r="L238" s="715">
        <v>0.21</v>
      </c>
      <c r="M238" s="715">
        <v>0.22</v>
      </c>
      <c r="N238" s="715">
        <v>0.23</v>
      </c>
      <c r="O238" s="715">
        <v>0.26</v>
      </c>
      <c r="P238" s="715">
        <v>0.31</v>
      </c>
      <c r="Q238" s="715">
        <v>0.39</v>
      </c>
      <c r="R238" s="715">
        <v>0.49</v>
      </c>
      <c r="S238" s="715">
        <v>0.63</v>
      </c>
      <c r="T238" s="716">
        <v>0.81</v>
      </c>
      <c r="U238" s="333">
        <v>1.04</v>
      </c>
      <c r="V238" s="418">
        <f>SUMPRODUCT(FlowFraction,InletGuideVaneFCFan)</f>
        <v>0.39699999999999996</v>
      </c>
    </row>
    <row r="239" spans="2:22" ht="14.4">
      <c r="B239" s="714" t="s">
        <v>481</v>
      </c>
      <c r="C239" s="715">
        <v>4055</v>
      </c>
      <c r="D239" s="715">
        <v>1877</v>
      </c>
      <c r="E239" s="717">
        <v>5376</v>
      </c>
      <c r="F239" s="32"/>
      <c r="G239" s="32"/>
      <c r="H239" s="32"/>
      <c r="I239" s="32"/>
      <c r="J239" s="32"/>
      <c r="K239" s="714" t="s">
        <v>482</v>
      </c>
      <c r="L239" s="715">
        <v>0.09</v>
      </c>
      <c r="M239" s="715">
        <v>0.1</v>
      </c>
      <c r="N239" s="715">
        <v>0.11</v>
      </c>
      <c r="O239" s="715">
        <v>0.15</v>
      </c>
      <c r="P239" s="715">
        <v>0.2</v>
      </c>
      <c r="Q239" s="715">
        <v>0.28999999999999998</v>
      </c>
      <c r="R239" s="715">
        <v>0.41</v>
      </c>
      <c r="S239" s="715">
        <v>0.56999999999999995</v>
      </c>
      <c r="T239" s="716">
        <v>0.76</v>
      </c>
      <c r="U239" s="333">
        <v>1.01</v>
      </c>
      <c r="V239" s="418">
        <f>SUMPRODUCT(FlowFraction,VFDDuctStaticPressure)</f>
        <v>0.30099999999999999</v>
      </c>
    </row>
    <row r="240" spans="2:22" ht="15" thickBot="1">
      <c r="B240" s="714" t="s">
        <v>483</v>
      </c>
      <c r="C240" s="715">
        <v>6376</v>
      </c>
      <c r="D240" s="715">
        <v>2713</v>
      </c>
      <c r="E240" s="717">
        <v>5376</v>
      </c>
      <c r="F240" s="32"/>
      <c r="G240" s="32"/>
      <c r="H240" s="32"/>
      <c r="I240" s="32"/>
      <c r="J240" s="32"/>
      <c r="K240" s="718" t="s">
        <v>484</v>
      </c>
      <c r="L240" s="719">
        <v>0.05</v>
      </c>
      <c r="M240" s="719">
        <v>0.06</v>
      </c>
      <c r="N240" s="719">
        <v>0.09</v>
      </c>
      <c r="O240" s="719">
        <v>0.12</v>
      </c>
      <c r="P240" s="719">
        <v>0.18</v>
      </c>
      <c r="Q240" s="719">
        <v>0.27</v>
      </c>
      <c r="R240" s="719">
        <v>0.39</v>
      </c>
      <c r="S240" s="719">
        <v>0.55000000000000004</v>
      </c>
      <c r="T240" s="334">
        <v>0.75</v>
      </c>
      <c r="U240" s="140">
        <v>1</v>
      </c>
      <c r="V240" s="418">
        <f>SUMPRODUCT(FlowFraction,VFDLowDuctStaticPressure)</f>
        <v>0.27960000000000002</v>
      </c>
    </row>
    <row r="241" spans="1:28" ht="14.4">
      <c r="B241" s="714" t="s">
        <v>485</v>
      </c>
      <c r="C241" s="715">
        <v>1954</v>
      </c>
      <c r="D241" s="715">
        <v>1121</v>
      </c>
      <c r="E241" s="717">
        <v>5376</v>
      </c>
      <c r="F241" s="32"/>
      <c r="G241" s="32"/>
      <c r="H241" s="32"/>
      <c r="I241" s="32"/>
      <c r="J241" s="32"/>
      <c r="K241" s="60" t="s">
        <v>486</v>
      </c>
      <c r="L241" s="32"/>
      <c r="M241" s="32"/>
      <c r="N241" s="32"/>
      <c r="O241" s="32"/>
      <c r="P241" s="32"/>
      <c r="Q241" s="32"/>
      <c r="R241" s="32"/>
      <c r="S241" s="32"/>
      <c r="T241" s="32"/>
      <c r="U241" s="141"/>
      <c r="V241" s="32"/>
    </row>
    <row r="242" spans="1:28" ht="14.4">
      <c r="B242" s="714" t="s">
        <v>487</v>
      </c>
      <c r="C242" s="715">
        <v>3748</v>
      </c>
      <c r="D242" s="715">
        <v>1767</v>
      </c>
      <c r="E242" s="717">
        <v>5376</v>
      </c>
      <c r="F242" s="32"/>
      <c r="G242" s="32"/>
      <c r="H242" s="32"/>
      <c r="I242" s="32"/>
      <c r="J242" s="32"/>
      <c r="K242" s="32"/>
      <c r="L242" s="32"/>
      <c r="M242" s="32"/>
      <c r="N242" s="32"/>
      <c r="O242" s="32"/>
      <c r="P242" s="32"/>
      <c r="Q242" s="32"/>
      <c r="R242" s="32"/>
      <c r="S242" s="32"/>
      <c r="T242" s="32"/>
      <c r="U242" s="141"/>
      <c r="V242" s="32"/>
    </row>
    <row r="243" spans="1:28" ht="14.4">
      <c r="B243" s="714" t="s">
        <v>488</v>
      </c>
      <c r="C243" s="715">
        <v>4182</v>
      </c>
      <c r="D243" s="715">
        <v>1923</v>
      </c>
      <c r="E243" s="717">
        <v>5376</v>
      </c>
      <c r="F243" s="32"/>
      <c r="G243" s="32"/>
      <c r="H243" s="32"/>
      <c r="I243" s="32"/>
      <c r="J243" s="32"/>
      <c r="K243" s="65" t="s">
        <v>489</v>
      </c>
      <c r="L243" s="65" t="s">
        <v>490</v>
      </c>
      <c r="M243" s="65"/>
      <c r="N243" s="65"/>
      <c r="O243" s="32"/>
      <c r="P243" s="32"/>
      <c r="Q243" s="32"/>
      <c r="R243" s="32"/>
      <c r="S243" s="32"/>
      <c r="T243" s="32"/>
      <c r="U243" s="141"/>
      <c r="V243" s="32"/>
    </row>
    <row r="244" spans="1:28" ht="14.4">
      <c r="B244" s="714" t="s">
        <v>491</v>
      </c>
      <c r="C244" s="715">
        <v>6456</v>
      </c>
      <c r="D244" s="715">
        <v>2742</v>
      </c>
      <c r="E244" s="717">
        <v>5376</v>
      </c>
      <c r="F244" s="32"/>
      <c r="G244" s="32"/>
      <c r="H244" s="32"/>
      <c r="I244" s="32"/>
      <c r="J244" s="32"/>
      <c r="K244" s="715" t="s">
        <v>453</v>
      </c>
      <c r="L244" s="716" t="s">
        <v>453</v>
      </c>
      <c r="M244" s="421"/>
      <c r="N244" s="421"/>
      <c r="O244" s="421"/>
      <c r="P244" s="421"/>
      <c r="Q244" s="422"/>
      <c r="R244" s="32"/>
      <c r="S244" s="32"/>
      <c r="T244" s="32"/>
      <c r="U244" s="141"/>
      <c r="V244" s="32"/>
    </row>
    <row r="245" spans="1:28" ht="14.4">
      <c r="B245" s="714" t="s">
        <v>492</v>
      </c>
      <c r="C245" s="715">
        <v>4182</v>
      </c>
      <c r="D245" s="715">
        <v>1923</v>
      </c>
      <c r="E245" s="717">
        <v>5376</v>
      </c>
      <c r="F245" s="32"/>
      <c r="G245" s="32"/>
      <c r="H245" s="32"/>
      <c r="I245" s="32"/>
      <c r="J245" s="32"/>
      <c r="K245" s="715" t="s">
        <v>449</v>
      </c>
      <c r="L245" s="716" t="s">
        <v>449</v>
      </c>
      <c r="M245" s="421"/>
      <c r="N245" s="421"/>
      <c r="O245" s="421"/>
      <c r="P245" s="421"/>
      <c r="Q245" s="422"/>
      <c r="R245" s="32"/>
      <c r="S245" s="32"/>
      <c r="T245" s="32"/>
      <c r="U245" s="141"/>
      <c r="V245" s="32"/>
    </row>
    <row r="246" spans="1:28" ht="14.4">
      <c r="A246" s="32"/>
      <c r="B246" s="714" t="s">
        <v>493</v>
      </c>
      <c r="C246" s="715">
        <v>1952</v>
      </c>
      <c r="D246" s="715">
        <v>1120</v>
      </c>
      <c r="E246" s="717">
        <v>5376</v>
      </c>
      <c r="F246" s="32"/>
      <c r="G246" s="32"/>
      <c r="H246" s="32"/>
      <c r="I246" s="32"/>
      <c r="J246" s="32"/>
      <c r="K246" s="715" t="s">
        <v>454</v>
      </c>
      <c r="L246" s="716" t="s">
        <v>450</v>
      </c>
      <c r="M246" s="421"/>
      <c r="N246" s="421"/>
      <c r="O246" s="421"/>
      <c r="P246" s="421"/>
      <c r="Q246" s="422"/>
      <c r="R246" s="32"/>
      <c r="S246" s="32"/>
      <c r="T246" s="32"/>
      <c r="U246" s="141"/>
      <c r="V246" s="32"/>
    </row>
    <row r="247" spans="1:28" ht="14.4">
      <c r="A247"/>
      <c r="B247" s="714" t="s">
        <v>494</v>
      </c>
      <c r="C247" s="715">
        <v>5836</v>
      </c>
      <c r="D247" s="715">
        <v>2518</v>
      </c>
      <c r="E247" s="717">
        <v>5376</v>
      </c>
      <c r="F247" s="32"/>
      <c r="G247" s="32"/>
      <c r="H247" s="32"/>
      <c r="I247" s="32"/>
      <c r="J247" s="32"/>
      <c r="K247" s="715" t="s">
        <v>462</v>
      </c>
      <c r="L247" s="716" t="s">
        <v>495</v>
      </c>
      <c r="M247" s="421"/>
      <c r="N247" s="421"/>
      <c r="O247" s="421"/>
      <c r="P247" s="421"/>
      <c r="Q247" s="422"/>
      <c r="R247" s="32"/>
      <c r="S247" s="32"/>
      <c r="T247" s="32"/>
      <c r="U247" s="141"/>
      <c r="V247" s="32"/>
    </row>
    <row r="248" spans="1:28" ht="14.4">
      <c r="A248"/>
      <c r="B248" s="714" t="s">
        <v>496</v>
      </c>
      <c r="C248" s="715">
        <v>6376</v>
      </c>
      <c r="D248" s="715">
        <v>2713</v>
      </c>
      <c r="E248" s="717">
        <v>5376</v>
      </c>
      <c r="F248" s="32"/>
      <c r="G248" s="32"/>
      <c r="H248" s="32"/>
      <c r="I248" s="32"/>
      <c r="J248" s="32"/>
      <c r="K248" s="715" t="s">
        <v>466</v>
      </c>
      <c r="L248" s="716" t="s">
        <v>497</v>
      </c>
      <c r="M248" s="421"/>
      <c r="N248" s="421"/>
      <c r="O248" s="421"/>
      <c r="P248" s="421"/>
      <c r="Q248" s="422"/>
      <c r="R248" s="32"/>
      <c r="S248" s="32"/>
      <c r="T248" s="32"/>
      <c r="U248" s="141"/>
      <c r="V248" s="32"/>
    </row>
    <row r="249" spans="1:28" ht="14.4">
      <c r="B249" s="714" t="s">
        <v>498</v>
      </c>
      <c r="C249" s="715">
        <v>1953</v>
      </c>
      <c r="D249" s="715">
        <v>1121</v>
      </c>
      <c r="E249" s="717">
        <v>5376</v>
      </c>
      <c r="F249" s="32"/>
      <c r="G249" s="32"/>
      <c r="H249" s="32"/>
      <c r="I249" s="32"/>
      <c r="J249" s="32"/>
      <c r="K249" s="715" t="s">
        <v>468</v>
      </c>
      <c r="L249" s="716" t="s">
        <v>499</v>
      </c>
      <c r="M249" s="421"/>
      <c r="N249" s="421"/>
      <c r="O249" s="421"/>
      <c r="P249" s="421"/>
      <c r="Q249" s="422"/>
      <c r="R249" s="32"/>
      <c r="S249" s="32"/>
      <c r="T249" s="32"/>
      <c r="U249" s="141"/>
      <c r="V249" s="32"/>
    </row>
    <row r="250" spans="1:28" ht="14.4">
      <c r="B250" s="714" t="s">
        <v>500</v>
      </c>
      <c r="C250" s="715">
        <v>4055</v>
      </c>
      <c r="D250" s="715">
        <v>1877</v>
      </c>
      <c r="E250" s="717">
        <v>5376</v>
      </c>
      <c r="F250" s="32"/>
      <c r="G250" s="32"/>
      <c r="H250" s="32"/>
      <c r="I250" s="32"/>
      <c r="J250" s="32"/>
      <c r="K250" s="715" t="s">
        <v>470</v>
      </c>
      <c r="L250" s="716" t="s">
        <v>470</v>
      </c>
      <c r="M250" s="421"/>
      <c r="N250" s="421"/>
      <c r="O250" s="421"/>
      <c r="P250" s="421"/>
      <c r="Q250" s="422"/>
      <c r="R250" s="32"/>
      <c r="S250" s="32"/>
      <c r="T250" s="32"/>
      <c r="U250" s="141"/>
      <c r="V250" s="32"/>
      <c r="Z250" s="32"/>
      <c r="AA250" s="32"/>
      <c r="AB250" s="32"/>
    </row>
    <row r="251" spans="1:28" ht="14.4">
      <c r="B251" s="714" t="s">
        <v>501</v>
      </c>
      <c r="C251" s="715">
        <v>2586</v>
      </c>
      <c r="D251" s="715">
        <v>1348</v>
      </c>
      <c r="E251" s="717">
        <v>5376</v>
      </c>
      <c r="F251" s="32"/>
      <c r="G251" s="32"/>
      <c r="H251" s="32"/>
      <c r="I251" s="32"/>
      <c r="J251" s="32"/>
      <c r="K251" s="715" t="s">
        <v>472</v>
      </c>
      <c r="L251" s="716" t="s">
        <v>502</v>
      </c>
      <c r="M251" s="421"/>
      <c r="N251" s="421"/>
      <c r="O251" s="421"/>
      <c r="P251" s="421"/>
      <c r="Q251" s="422"/>
      <c r="R251" s="32"/>
      <c r="S251" s="32"/>
      <c r="T251" s="32"/>
      <c r="U251" s="141"/>
      <c r="V251" s="32"/>
      <c r="Z251" s="32"/>
      <c r="AA251" s="32"/>
      <c r="AB251" s="32"/>
    </row>
    <row r="252" spans="1:28" ht="15.75" customHeight="1">
      <c r="B252" s="714" t="s">
        <v>503</v>
      </c>
      <c r="C252" s="715">
        <v>7674</v>
      </c>
      <c r="D252" s="715">
        <v>3180</v>
      </c>
      <c r="E252" s="717">
        <v>8760</v>
      </c>
      <c r="F252" s="32"/>
      <c r="G252" s="32"/>
      <c r="H252" s="32"/>
      <c r="I252" s="32"/>
      <c r="J252" s="32"/>
      <c r="K252" s="715" t="s">
        <v>474</v>
      </c>
      <c r="L252" s="716" t="s">
        <v>474</v>
      </c>
      <c r="M252" s="421"/>
      <c r="N252" s="421"/>
      <c r="O252" s="421"/>
      <c r="P252" s="421"/>
      <c r="Q252" s="422"/>
      <c r="R252" s="32"/>
      <c r="S252" s="32"/>
      <c r="T252" s="32"/>
      <c r="U252" s="141"/>
      <c r="V252" s="32"/>
      <c r="Z252" s="32"/>
      <c r="AA252" s="32"/>
      <c r="AB252" s="32"/>
    </row>
    <row r="253" spans="1:28" ht="15.75" customHeight="1">
      <c r="B253" s="714" t="s">
        <v>504</v>
      </c>
      <c r="C253" s="715">
        <v>7666</v>
      </c>
      <c r="D253" s="715">
        <v>1377</v>
      </c>
      <c r="E253" s="717">
        <v>8760</v>
      </c>
      <c r="F253" s="32"/>
      <c r="G253" s="32"/>
      <c r="H253" s="32"/>
      <c r="I253" s="32"/>
      <c r="J253" s="32"/>
      <c r="K253" s="715" t="s">
        <v>476</v>
      </c>
      <c r="L253" s="716" t="s">
        <v>505</v>
      </c>
      <c r="M253" s="421"/>
      <c r="N253" s="421"/>
      <c r="O253" s="421"/>
      <c r="P253" s="421"/>
      <c r="Q253" s="422"/>
      <c r="R253" s="32"/>
      <c r="S253" s="32"/>
      <c r="T253" s="32"/>
      <c r="U253" s="141"/>
      <c r="V253" s="32"/>
      <c r="Z253" s="32"/>
      <c r="AA253" s="32"/>
      <c r="AB253" s="32"/>
    </row>
    <row r="254" spans="1:28" ht="15.75" customHeight="1">
      <c r="B254" s="714" t="s">
        <v>506</v>
      </c>
      <c r="C254" s="715">
        <v>2857</v>
      </c>
      <c r="D254" s="715">
        <v>1446</v>
      </c>
      <c r="E254" s="717">
        <v>5376</v>
      </c>
      <c r="F254" s="32"/>
      <c r="G254" s="32"/>
      <c r="H254" s="32"/>
      <c r="I254" s="32"/>
      <c r="J254" s="32"/>
      <c r="K254" s="715" t="s">
        <v>478</v>
      </c>
      <c r="L254" s="716" t="s">
        <v>507</v>
      </c>
      <c r="M254" s="421"/>
      <c r="N254" s="421"/>
      <c r="O254" s="421"/>
      <c r="P254" s="421"/>
      <c r="Q254" s="422"/>
      <c r="R254" s="32"/>
      <c r="S254" s="32"/>
      <c r="T254" s="32"/>
      <c r="U254" s="141"/>
      <c r="V254" s="32"/>
      <c r="Z254" s="32"/>
      <c r="AA254" s="32"/>
      <c r="AB254" s="32"/>
    </row>
    <row r="255" spans="1:28" ht="14.4">
      <c r="B255" s="714" t="s">
        <v>508</v>
      </c>
      <c r="C255" s="715">
        <v>4730</v>
      </c>
      <c r="D255" s="715">
        <v>2120</v>
      </c>
      <c r="E255" s="717">
        <v>5376</v>
      </c>
      <c r="F255" s="32"/>
      <c r="G255" s="32"/>
      <c r="H255" s="32"/>
      <c r="I255" s="32"/>
      <c r="J255" s="32"/>
      <c r="K255" s="715" t="s">
        <v>480</v>
      </c>
      <c r="L255" s="716" t="s">
        <v>509</v>
      </c>
      <c r="M255" s="421"/>
      <c r="N255" s="421"/>
      <c r="O255" s="421"/>
      <c r="P255" s="421"/>
      <c r="Q255" s="422"/>
      <c r="R255" s="32"/>
      <c r="S255" s="32"/>
      <c r="T255" s="32"/>
      <c r="U255" s="141"/>
      <c r="V255" s="32"/>
      <c r="Z255" s="32"/>
      <c r="AA255" s="32"/>
      <c r="AB255" s="32"/>
    </row>
    <row r="256" spans="1:28" ht="14.4">
      <c r="B256" s="714" t="s">
        <v>510</v>
      </c>
      <c r="C256" s="715">
        <v>6631</v>
      </c>
      <c r="D256" s="715">
        <v>2805</v>
      </c>
      <c r="E256" s="717">
        <v>5376</v>
      </c>
      <c r="F256" s="32"/>
      <c r="G256" s="32"/>
      <c r="H256" s="32"/>
      <c r="I256" s="32"/>
      <c r="J256" s="32"/>
      <c r="K256" s="715" t="s">
        <v>482</v>
      </c>
      <c r="L256" s="1048" t="s">
        <v>482</v>
      </c>
      <c r="M256" s="801"/>
      <c r="N256" s="801"/>
      <c r="O256" s="801"/>
      <c r="P256" s="801"/>
      <c r="Q256" s="802"/>
      <c r="R256" s="32"/>
      <c r="S256" s="32"/>
      <c r="T256" s="32"/>
      <c r="U256" s="141"/>
      <c r="V256" s="32"/>
      <c r="Z256" s="32"/>
      <c r="AA256" s="32"/>
      <c r="AB256" s="32"/>
    </row>
    <row r="257" spans="2:28" ht="14.4">
      <c r="B257" s="714" t="s">
        <v>511</v>
      </c>
      <c r="C257" s="715">
        <v>4056</v>
      </c>
      <c r="D257" s="715">
        <v>1878</v>
      </c>
      <c r="E257" s="717">
        <v>5376</v>
      </c>
      <c r="F257" s="32"/>
      <c r="G257" s="32"/>
      <c r="H257" s="32"/>
      <c r="I257" s="32"/>
      <c r="J257" s="32"/>
      <c r="K257" s="715" t="s">
        <v>484</v>
      </c>
      <c r="L257" s="1048" t="s">
        <v>484</v>
      </c>
      <c r="M257" s="801"/>
      <c r="N257" s="801"/>
      <c r="O257" s="801"/>
      <c r="P257" s="801"/>
      <c r="Q257" s="802"/>
      <c r="R257" s="32"/>
      <c r="S257" s="32"/>
      <c r="T257" s="32"/>
      <c r="U257" s="141"/>
      <c r="V257" s="32"/>
      <c r="Z257" s="32"/>
      <c r="AA257" s="32"/>
      <c r="AB257" s="32"/>
    </row>
    <row r="258" spans="2:28" ht="14.4">
      <c r="B258" s="714" t="s">
        <v>512</v>
      </c>
      <c r="C258" s="715">
        <v>3748</v>
      </c>
      <c r="D258" s="715">
        <v>1767</v>
      </c>
      <c r="E258" s="717">
        <v>5376</v>
      </c>
      <c r="F258" s="32"/>
      <c r="G258" s="32"/>
      <c r="H258" s="32"/>
      <c r="I258" s="32"/>
      <c r="J258" s="32"/>
      <c r="K258" s="32"/>
      <c r="L258" s="32"/>
      <c r="M258" s="32"/>
      <c r="Z258" s="32"/>
      <c r="AA258" s="32"/>
      <c r="AB258" s="32"/>
    </row>
    <row r="259" spans="2:28" ht="14.4">
      <c r="B259" s="714" t="s">
        <v>513</v>
      </c>
      <c r="C259" s="715">
        <v>2857</v>
      </c>
      <c r="D259" s="715">
        <v>1446</v>
      </c>
      <c r="E259" s="717">
        <v>5376</v>
      </c>
      <c r="F259" s="32"/>
      <c r="G259" s="32"/>
      <c r="H259" s="32"/>
      <c r="I259" s="32"/>
      <c r="J259" s="32"/>
      <c r="K259" s="32"/>
      <c r="L259" s="32"/>
      <c r="M259" s="32"/>
      <c r="Z259" s="32"/>
      <c r="AA259" s="32"/>
      <c r="AB259" s="32"/>
    </row>
    <row r="260" spans="2:28" ht="14.4">
      <c r="B260" s="714" t="s">
        <v>514</v>
      </c>
      <c r="C260" s="715">
        <v>3064</v>
      </c>
      <c r="D260" s="715">
        <v>1521</v>
      </c>
      <c r="E260" s="717">
        <v>5942</v>
      </c>
      <c r="F260" s="32"/>
      <c r="G260" s="32"/>
      <c r="H260" s="32"/>
      <c r="I260" s="32"/>
      <c r="J260" s="32"/>
      <c r="K260" s="32"/>
      <c r="L260" s="32"/>
      <c r="M260" s="32"/>
      <c r="N260" s="32"/>
      <c r="O260" s="32"/>
      <c r="P260" s="32"/>
      <c r="Q260" s="32"/>
      <c r="R260" s="32"/>
      <c r="S260" s="32"/>
      <c r="T260" s="32"/>
      <c r="U260" s="141"/>
      <c r="V260" s="32"/>
      <c r="W260" s="32"/>
      <c r="X260" s="32"/>
      <c r="Y260" s="32"/>
      <c r="Z260" s="32"/>
      <c r="AA260" s="32"/>
      <c r="AB260" s="32"/>
    </row>
    <row r="261" spans="2:28" ht="14.4">
      <c r="B261" s="714" t="s">
        <v>515</v>
      </c>
      <c r="C261" s="715">
        <v>4833</v>
      </c>
      <c r="D261" s="715">
        <v>2157</v>
      </c>
      <c r="E261" s="717">
        <v>5376</v>
      </c>
      <c r="F261" s="32"/>
      <c r="G261" s="32"/>
      <c r="H261" s="32"/>
      <c r="I261" s="32"/>
      <c r="J261" s="32"/>
      <c r="K261" s="32"/>
      <c r="L261" s="32"/>
      <c r="M261" s="32"/>
      <c r="N261" s="32"/>
      <c r="O261" s="32"/>
      <c r="P261" s="32"/>
      <c r="Q261" s="32"/>
      <c r="R261" s="32"/>
      <c r="S261" s="32"/>
      <c r="T261" s="32"/>
      <c r="U261" s="141"/>
      <c r="V261" s="32"/>
      <c r="W261" s="32"/>
      <c r="X261" s="32"/>
      <c r="Y261" s="32"/>
      <c r="Z261" s="32"/>
      <c r="AA261" s="32"/>
      <c r="AB261" s="32"/>
    </row>
    <row r="262" spans="2:28" ht="14.4">
      <c r="B262" s="714" t="s">
        <v>516</v>
      </c>
      <c r="C262" s="715">
        <v>2857</v>
      </c>
      <c r="D262" s="715">
        <v>1446</v>
      </c>
      <c r="E262" s="717">
        <v>5376</v>
      </c>
      <c r="F262" s="32"/>
      <c r="G262" s="32"/>
      <c r="H262" s="32"/>
      <c r="I262" s="32"/>
      <c r="J262" s="32"/>
      <c r="K262" s="32"/>
      <c r="L262" s="32"/>
      <c r="M262" s="32"/>
      <c r="N262" s="32"/>
      <c r="O262" s="32"/>
      <c r="P262" s="32"/>
      <c r="Q262" s="32"/>
      <c r="R262" s="32"/>
      <c r="S262" s="32"/>
      <c r="T262" s="32"/>
      <c r="U262" s="141"/>
      <c r="V262" s="32"/>
      <c r="W262" s="32"/>
      <c r="X262" s="32"/>
      <c r="Y262" s="32"/>
      <c r="Z262" s="32"/>
      <c r="AA262" s="32"/>
      <c r="AB262" s="32"/>
    </row>
    <row r="263" spans="2:28" ht="14.4">
      <c r="B263" s="714" t="s">
        <v>517</v>
      </c>
      <c r="C263" s="715">
        <v>3748</v>
      </c>
      <c r="D263" s="715">
        <v>1767</v>
      </c>
      <c r="E263" s="717">
        <v>5376</v>
      </c>
      <c r="F263" s="32"/>
      <c r="G263" s="32"/>
      <c r="H263" s="32"/>
      <c r="I263" s="32"/>
      <c r="J263" s="32"/>
      <c r="K263" s="32"/>
      <c r="L263" s="32"/>
      <c r="M263" s="32"/>
      <c r="N263" s="32"/>
      <c r="O263" s="32"/>
      <c r="P263" s="32"/>
      <c r="Q263" s="32"/>
      <c r="R263" s="32"/>
      <c r="S263" s="32"/>
      <c r="T263" s="32"/>
      <c r="U263" s="141"/>
      <c r="V263" s="32"/>
      <c r="W263" s="32"/>
      <c r="X263" s="32"/>
      <c r="Y263" s="32"/>
      <c r="Z263" s="32"/>
      <c r="AA263" s="32"/>
      <c r="AB263" s="32"/>
    </row>
    <row r="264" spans="2:28" ht="14.4">
      <c r="B264" s="714" t="s">
        <v>518</v>
      </c>
      <c r="C264" s="715">
        <v>1954</v>
      </c>
      <c r="D264" s="715">
        <v>1121</v>
      </c>
      <c r="E264" s="717">
        <v>5376</v>
      </c>
      <c r="F264" s="32"/>
      <c r="G264" s="32"/>
      <c r="H264" s="32"/>
      <c r="I264" s="32"/>
      <c r="J264" s="32"/>
      <c r="K264" s="32"/>
      <c r="L264" s="32"/>
      <c r="M264" s="32"/>
      <c r="N264" s="32"/>
      <c r="O264" s="32"/>
      <c r="P264" s="32"/>
      <c r="Q264" s="32"/>
      <c r="R264" s="32"/>
      <c r="S264" s="32"/>
      <c r="T264" s="32"/>
      <c r="U264" s="141"/>
      <c r="V264" s="32"/>
      <c r="W264" s="32"/>
      <c r="X264" s="32"/>
      <c r="Y264" s="32"/>
      <c r="Z264" s="32"/>
      <c r="AA264" s="32"/>
      <c r="AB264" s="32"/>
    </row>
    <row r="265" spans="2:28" ht="14.4">
      <c r="B265" s="714" t="s">
        <v>175</v>
      </c>
      <c r="C265" s="715">
        <v>7665</v>
      </c>
      <c r="D265" s="715">
        <v>3177</v>
      </c>
      <c r="E265" s="717">
        <v>5376</v>
      </c>
      <c r="F265" s="32"/>
      <c r="G265" s="32"/>
      <c r="H265" s="32"/>
      <c r="I265" s="32"/>
      <c r="J265" s="32"/>
      <c r="K265" s="32"/>
      <c r="L265" s="32"/>
      <c r="M265" s="32"/>
      <c r="N265" s="32"/>
      <c r="O265" s="32"/>
      <c r="P265" s="32"/>
      <c r="Q265" s="32"/>
      <c r="R265" s="32"/>
      <c r="S265" s="32"/>
      <c r="T265" s="32"/>
      <c r="U265" s="141"/>
      <c r="V265" s="32"/>
      <c r="W265" s="32"/>
      <c r="X265" s="32"/>
      <c r="Y265" s="32"/>
      <c r="Z265" s="32"/>
      <c r="AA265" s="32"/>
      <c r="AB265" s="32"/>
    </row>
    <row r="266" spans="2:28" ht="14.4">
      <c r="B266" s="714" t="s">
        <v>519</v>
      </c>
      <c r="C266" s="715">
        <v>3748</v>
      </c>
      <c r="D266" s="715">
        <v>1767</v>
      </c>
      <c r="E266" s="717">
        <v>5376</v>
      </c>
      <c r="F266" s="32"/>
      <c r="G266" s="32"/>
      <c r="H266" s="32"/>
      <c r="I266" s="32"/>
      <c r="J266" s="32"/>
      <c r="K266" s="32"/>
      <c r="L266" s="32"/>
      <c r="M266" s="32"/>
      <c r="N266" s="32"/>
      <c r="O266" s="32"/>
      <c r="P266" s="32"/>
      <c r="Q266" s="32"/>
      <c r="R266" s="32"/>
      <c r="S266" s="32"/>
      <c r="T266" s="32"/>
      <c r="U266" s="141"/>
      <c r="V266" s="32"/>
      <c r="W266" s="32"/>
      <c r="X266" s="32"/>
      <c r="Y266" s="32"/>
      <c r="Z266" s="32"/>
      <c r="AA266" s="32"/>
      <c r="AB266" s="32"/>
    </row>
    <row r="267" spans="2:28" ht="15.75" customHeight="1">
      <c r="B267" s="714" t="s">
        <v>520</v>
      </c>
      <c r="C267" s="715">
        <v>5840</v>
      </c>
      <c r="D267" s="715">
        <v>2520</v>
      </c>
      <c r="E267" s="717">
        <v>5428</v>
      </c>
      <c r="F267" s="32"/>
      <c r="G267" s="32"/>
      <c r="H267" s="32"/>
      <c r="I267" s="32"/>
      <c r="J267" s="32"/>
      <c r="K267" s="32"/>
      <c r="L267" s="32"/>
      <c r="M267" s="32"/>
      <c r="N267" s="32"/>
      <c r="O267" s="32"/>
      <c r="P267" s="32"/>
      <c r="Q267" s="32"/>
      <c r="R267" s="32"/>
      <c r="S267" s="32"/>
      <c r="T267" s="32"/>
      <c r="U267" s="141"/>
      <c r="V267" s="32"/>
      <c r="W267" s="32"/>
      <c r="X267" s="32"/>
      <c r="Y267" s="32"/>
      <c r="Z267" s="32"/>
      <c r="AA267" s="32"/>
      <c r="AB267" s="32"/>
    </row>
    <row r="268" spans="2:28" ht="14.4">
      <c r="B268" s="714" t="s">
        <v>521</v>
      </c>
      <c r="C268" s="715">
        <v>3748</v>
      </c>
      <c r="D268" s="715">
        <v>1767</v>
      </c>
      <c r="E268" s="717">
        <v>3038</v>
      </c>
      <c r="F268" s="32"/>
      <c r="G268" s="32"/>
      <c r="H268" s="32"/>
      <c r="I268" s="32"/>
      <c r="J268" s="32"/>
      <c r="K268" s="32"/>
      <c r="L268" s="32"/>
      <c r="M268" s="32"/>
      <c r="N268" s="32"/>
      <c r="O268" s="32"/>
      <c r="P268" s="32"/>
      <c r="Q268" s="32"/>
      <c r="R268" s="32"/>
      <c r="S268" s="32"/>
      <c r="T268" s="32"/>
      <c r="U268" s="141"/>
      <c r="V268" s="32"/>
      <c r="W268" s="32"/>
      <c r="X268" s="32"/>
      <c r="Y268" s="32"/>
      <c r="Z268" s="32"/>
      <c r="AA268" s="32"/>
      <c r="AB268" s="32"/>
    </row>
    <row r="269" spans="2:28" ht="14.4">
      <c r="B269" s="714" t="s">
        <v>522</v>
      </c>
      <c r="C269" s="715">
        <v>3748</v>
      </c>
      <c r="D269" s="715">
        <v>1767</v>
      </c>
      <c r="E269" s="717">
        <v>3038</v>
      </c>
      <c r="F269" s="32"/>
      <c r="G269" s="32"/>
      <c r="H269" s="32"/>
      <c r="I269" s="32"/>
      <c r="J269" s="32"/>
      <c r="K269" s="32"/>
      <c r="L269" s="32"/>
      <c r="M269" s="32"/>
      <c r="N269" s="32"/>
      <c r="O269" s="32"/>
      <c r="P269" s="32"/>
      <c r="Q269" s="32"/>
      <c r="R269" s="32"/>
      <c r="S269" s="32"/>
      <c r="T269" s="32"/>
      <c r="U269" s="141"/>
      <c r="V269" s="32"/>
      <c r="W269" s="32"/>
      <c r="X269" s="32"/>
      <c r="Y269" s="32"/>
      <c r="Z269" s="32"/>
      <c r="AA269" s="32"/>
      <c r="AB269" s="32"/>
    </row>
    <row r="270" spans="2:28" ht="14.4">
      <c r="B270" s="714" t="s">
        <v>523</v>
      </c>
      <c r="C270" s="715">
        <v>4368</v>
      </c>
      <c r="D270" s="715">
        <v>1990</v>
      </c>
      <c r="E270" s="717">
        <v>5376</v>
      </c>
      <c r="F270" s="32"/>
      <c r="G270" s="32"/>
      <c r="H270" s="32"/>
      <c r="I270" s="32"/>
      <c r="J270" s="32"/>
      <c r="K270" s="32"/>
      <c r="L270" s="32"/>
      <c r="M270" s="32"/>
      <c r="N270" s="32"/>
      <c r="O270" s="32"/>
      <c r="P270" s="32"/>
      <c r="Q270" s="32"/>
      <c r="R270" s="32"/>
      <c r="S270" s="32"/>
      <c r="T270" s="32"/>
      <c r="U270" s="141"/>
      <c r="V270" s="32"/>
      <c r="W270" s="32"/>
      <c r="X270" s="32"/>
      <c r="Y270" s="32"/>
      <c r="Z270" s="32"/>
      <c r="AA270" s="32"/>
      <c r="AB270" s="32"/>
    </row>
    <row r="271" spans="2:28" ht="14.4">
      <c r="B271" s="714" t="s">
        <v>524</v>
      </c>
      <c r="C271" s="715">
        <v>5477</v>
      </c>
      <c r="D271" s="715">
        <v>2389</v>
      </c>
      <c r="E271" s="717">
        <v>5376</v>
      </c>
      <c r="F271" s="32"/>
      <c r="G271" s="32"/>
      <c r="H271" s="32"/>
      <c r="N271" s="32"/>
      <c r="O271" s="32"/>
      <c r="P271" s="32"/>
      <c r="Q271" s="32"/>
      <c r="R271" s="32"/>
      <c r="S271" s="32"/>
      <c r="T271" s="32"/>
      <c r="U271" s="141"/>
      <c r="V271" s="32"/>
      <c r="W271" s="32"/>
      <c r="X271" s="32"/>
      <c r="Y271" s="32"/>
      <c r="Z271" s="32"/>
      <c r="AA271" s="32"/>
      <c r="AB271" s="32"/>
    </row>
    <row r="272" spans="2:28" ht="14.4">
      <c r="B272" s="714" t="s">
        <v>525</v>
      </c>
      <c r="C272" s="715">
        <v>2586</v>
      </c>
      <c r="D272" s="715">
        <v>1348</v>
      </c>
      <c r="E272" s="717">
        <v>5376</v>
      </c>
      <c r="F272" s="32"/>
      <c r="G272" s="32"/>
      <c r="H272" s="32"/>
      <c r="N272" s="32"/>
      <c r="O272" s="32"/>
      <c r="P272" s="32"/>
      <c r="Q272" s="32"/>
      <c r="R272" s="32"/>
      <c r="S272" s="32"/>
      <c r="T272" s="32"/>
      <c r="U272" s="141"/>
      <c r="V272" s="32"/>
      <c r="W272" s="32"/>
      <c r="X272" s="32"/>
      <c r="Y272" s="32"/>
      <c r="Z272" s="32"/>
      <c r="AA272" s="32"/>
      <c r="AB272" s="32"/>
    </row>
    <row r="273" spans="2:28" ht="14.4">
      <c r="B273" s="714" t="s">
        <v>526</v>
      </c>
      <c r="C273" s="715">
        <v>7665</v>
      </c>
      <c r="D273" s="715">
        <v>3177</v>
      </c>
      <c r="E273" s="717">
        <v>5376</v>
      </c>
      <c r="F273" s="32"/>
      <c r="G273" s="32"/>
      <c r="H273" s="32"/>
      <c r="N273" s="32"/>
      <c r="O273" s="32"/>
      <c r="P273" s="32"/>
      <c r="Q273" s="32"/>
      <c r="R273" s="32"/>
      <c r="S273" s="32"/>
      <c r="T273" s="32"/>
      <c r="U273" s="141"/>
      <c r="V273" s="32"/>
      <c r="W273" s="32"/>
      <c r="X273" s="32"/>
      <c r="Y273" s="32"/>
      <c r="Z273" s="32"/>
      <c r="AA273" s="32"/>
      <c r="AB273" s="32"/>
    </row>
    <row r="274" spans="2:28" ht="14.4">
      <c r="B274" s="714" t="s">
        <v>527</v>
      </c>
      <c r="C274" s="715">
        <v>3748</v>
      </c>
      <c r="D274" s="715">
        <v>1767</v>
      </c>
      <c r="E274" s="717">
        <v>5376</v>
      </c>
      <c r="F274" s="32"/>
      <c r="G274" s="32"/>
      <c r="H274" s="32"/>
      <c r="N274" s="32"/>
      <c r="O274" s="32"/>
      <c r="P274" s="32"/>
      <c r="Q274" s="32"/>
      <c r="R274" s="32"/>
      <c r="S274" s="32"/>
      <c r="T274" s="32"/>
      <c r="U274" s="141"/>
      <c r="V274" s="32"/>
      <c r="W274" s="32"/>
      <c r="X274" s="32"/>
      <c r="Y274" s="32"/>
      <c r="Z274" s="32"/>
      <c r="AA274" s="32"/>
      <c r="AB274" s="32"/>
    </row>
    <row r="275" spans="2:28" ht="14.4">
      <c r="B275" s="714" t="s">
        <v>528</v>
      </c>
      <c r="C275" s="715">
        <v>1949</v>
      </c>
      <c r="D275" s="715">
        <v>1119</v>
      </c>
      <c r="E275" s="717">
        <v>5376</v>
      </c>
      <c r="F275" s="32"/>
      <c r="G275" s="32"/>
      <c r="H275" s="32"/>
      <c r="N275" s="32"/>
      <c r="O275" s="32"/>
      <c r="P275" s="32"/>
      <c r="Q275" s="32"/>
      <c r="R275" s="32"/>
      <c r="S275" s="32"/>
      <c r="T275" s="32"/>
      <c r="U275" s="141"/>
      <c r="V275" s="32"/>
      <c r="W275" s="32"/>
      <c r="X275" s="32"/>
      <c r="Y275" s="32"/>
      <c r="Z275" s="32"/>
      <c r="AA275" s="32"/>
      <c r="AB275" s="32"/>
    </row>
    <row r="276" spans="2:28" ht="14.4">
      <c r="B276" s="714" t="s">
        <v>529</v>
      </c>
      <c r="C276" s="715">
        <v>2602</v>
      </c>
      <c r="D276" s="715">
        <v>1354</v>
      </c>
      <c r="E276" s="717">
        <v>0</v>
      </c>
      <c r="F276" s="32"/>
      <c r="G276" s="32"/>
      <c r="H276" s="32"/>
      <c r="N276" s="32"/>
      <c r="O276" s="32"/>
      <c r="P276" s="32"/>
      <c r="Q276" s="32"/>
      <c r="R276" s="32"/>
      <c r="S276" s="32"/>
      <c r="T276" s="32"/>
      <c r="U276" s="141"/>
      <c r="V276" s="32"/>
      <c r="W276" s="32"/>
      <c r="X276" s="32"/>
      <c r="Y276" s="32"/>
      <c r="Z276" s="32"/>
      <c r="AA276" s="32"/>
      <c r="AB276" s="32"/>
    </row>
    <row r="277" spans="2:28" ht="14.4">
      <c r="B277" s="714" t="s">
        <v>530</v>
      </c>
      <c r="C277" s="715">
        <v>1955</v>
      </c>
      <c r="D277" s="715">
        <v>1121</v>
      </c>
      <c r="E277" s="717">
        <v>5376</v>
      </c>
      <c r="F277" s="32"/>
      <c r="G277" s="32"/>
      <c r="H277" s="32"/>
      <c r="N277" s="32"/>
      <c r="O277" s="32"/>
      <c r="P277" s="32"/>
      <c r="Q277" s="32"/>
      <c r="R277" s="32"/>
      <c r="S277" s="32"/>
      <c r="T277" s="32"/>
      <c r="U277" s="141"/>
      <c r="V277" s="32"/>
      <c r="W277" s="32"/>
      <c r="X277" s="32"/>
      <c r="Y277" s="32"/>
      <c r="Z277" s="32"/>
      <c r="AA277" s="32"/>
      <c r="AB277" s="32"/>
    </row>
    <row r="278" spans="2:28" ht="14.4">
      <c r="B278" s="714" t="s">
        <v>531</v>
      </c>
      <c r="C278" s="715">
        <v>3066</v>
      </c>
      <c r="D278" s="715">
        <v>1521</v>
      </c>
      <c r="E278" s="717">
        <v>5376</v>
      </c>
      <c r="F278" s="32"/>
      <c r="G278" s="32"/>
      <c r="H278" s="32"/>
      <c r="N278" s="32"/>
      <c r="O278" s="32"/>
      <c r="P278" s="32"/>
      <c r="Q278" s="32"/>
      <c r="R278" s="32"/>
      <c r="S278" s="32"/>
      <c r="T278" s="32"/>
      <c r="U278" s="141"/>
      <c r="V278" s="32"/>
      <c r="W278" s="32"/>
      <c r="X278" s="32"/>
      <c r="Y278" s="32"/>
      <c r="Z278" s="32"/>
      <c r="AA278" s="32"/>
      <c r="AB278" s="32"/>
    </row>
    <row r="279" spans="2:28" ht="14.4">
      <c r="B279" s="714" t="s">
        <v>532</v>
      </c>
      <c r="C279" s="715">
        <v>4182</v>
      </c>
      <c r="D279" s="715">
        <v>1923</v>
      </c>
      <c r="E279" s="717">
        <v>5376</v>
      </c>
      <c r="F279" s="32"/>
      <c r="G279" s="32"/>
      <c r="H279" s="32"/>
      <c r="N279" s="32"/>
      <c r="O279" s="32"/>
      <c r="P279" s="32"/>
      <c r="Q279" s="32"/>
      <c r="R279" s="32"/>
      <c r="S279" s="32"/>
      <c r="T279" s="32"/>
      <c r="U279" s="141"/>
      <c r="V279" s="32"/>
      <c r="W279" s="32"/>
      <c r="X279" s="32"/>
      <c r="Y279" s="32"/>
      <c r="Z279" s="32"/>
      <c r="AA279" s="32"/>
      <c r="AB279" s="32"/>
    </row>
    <row r="280" spans="2:28" ht="14.4">
      <c r="B280" s="714" t="s">
        <v>533</v>
      </c>
      <c r="C280" s="715">
        <v>4057</v>
      </c>
      <c r="D280" s="715">
        <v>1878</v>
      </c>
      <c r="E280" s="717">
        <v>2344</v>
      </c>
      <c r="F280" s="32"/>
      <c r="G280" s="32"/>
      <c r="H280" s="32"/>
      <c r="N280" s="32"/>
      <c r="O280" s="32"/>
      <c r="P280" s="32"/>
      <c r="Q280" s="32"/>
      <c r="R280" s="32"/>
      <c r="S280" s="32"/>
      <c r="T280" s="32"/>
      <c r="U280" s="141"/>
      <c r="V280" s="32"/>
      <c r="W280" s="32"/>
      <c r="X280" s="32"/>
      <c r="Y280" s="32"/>
      <c r="Z280" s="32"/>
      <c r="AA280" s="32"/>
      <c r="AB280" s="32"/>
    </row>
    <row r="281" spans="2:28" ht="14.4">
      <c r="B281" s="714" t="s">
        <v>534</v>
      </c>
      <c r="C281" s="715">
        <v>2187</v>
      </c>
      <c r="D281" s="715">
        <v>1205</v>
      </c>
      <c r="E281" s="717">
        <v>4038</v>
      </c>
      <c r="F281" s="32"/>
      <c r="G281" s="32"/>
      <c r="H281" s="32"/>
      <c r="N281" s="32"/>
      <c r="O281" s="32"/>
      <c r="P281" s="32"/>
      <c r="Q281" s="32"/>
      <c r="R281" s="32"/>
      <c r="S281" s="32"/>
      <c r="T281" s="32"/>
      <c r="U281" s="141"/>
      <c r="V281" s="32"/>
      <c r="W281" s="32"/>
      <c r="X281" s="32"/>
      <c r="Y281" s="32"/>
      <c r="Z281" s="32"/>
      <c r="AA281" s="32"/>
      <c r="AB281" s="32"/>
    </row>
    <row r="282" spans="2:28" ht="14.4">
      <c r="B282" s="714" t="s">
        <v>535</v>
      </c>
      <c r="C282" s="715">
        <v>2187</v>
      </c>
      <c r="D282" s="715">
        <v>1205</v>
      </c>
      <c r="E282" s="717">
        <v>3229</v>
      </c>
      <c r="F282" s="32"/>
      <c r="G282" s="32"/>
      <c r="H282" s="32"/>
      <c r="N282" s="32"/>
      <c r="O282" s="32"/>
      <c r="P282" s="32"/>
      <c r="Q282" s="32"/>
      <c r="R282" s="32"/>
      <c r="S282" s="32"/>
      <c r="T282" s="32"/>
      <c r="U282" s="141"/>
      <c r="V282" s="32"/>
      <c r="W282" s="32"/>
      <c r="X282" s="32"/>
      <c r="Y282" s="32"/>
      <c r="Z282" s="32"/>
      <c r="AA282" s="32"/>
      <c r="AB282" s="32"/>
    </row>
    <row r="283" spans="2:28" ht="14.4">
      <c r="B283" s="714" t="s">
        <v>536</v>
      </c>
      <c r="C283" s="715">
        <v>2187</v>
      </c>
      <c r="D283" s="715">
        <v>1205</v>
      </c>
      <c r="E283" s="717">
        <v>3229</v>
      </c>
      <c r="F283" s="32"/>
      <c r="G283" s="32"/>
      <c r="H283" s="32"/>
      <c r="N283" s="32"/>
      <c r="O283" s="32"/>
      <c r="P283" s="32"/>
      <c r="Q283" s="32"/>
      <c r="R283" s="32"/>
      <c r="S283" s="32"/>
      <c r="T283" s="32"/>
      <c r="U283" s="141"/>
      <c r="V283" s="32"/>
      <c r="W283" s="32"/>
      <c r="X283" s="32"/>
      <c r="Y283" s="32"/>
      <c r="Z283" s="32"/>
      <c r="AA283" s="32"/>
      <c r="AB283" s="32"/>
    </row>
    <row r="284" spans="2:28" ht="14.4">
      <c r="B284" s="714" t="s">
        <v>537</v>
      </c>
      <c r="C284" s="715">
        <v>2187</v>
      </c>
      <c r="D284" s="715">
        <v>1205</v>
      </c>
      <c r="E284" s="717">
        <v>3229</v>
      </c>
      <c r="F284" s="32"/>
      <c r="G284" s="32"/>
      <c r="H284" s="32"/>
      <c r="N284" s="32"/>
      <c r="O284" s="32"/>
      <c r="P284" s="32"/>
      <c r="Q284" s="32"/>
      <c r="R284" s="32"/>
      <c r="S284" s="32"/>
      <c r="T284" s="32"/>
      <c r="U284" s="141"/>
      <c r="V284" s="32"/>
      <c r="W284" s="32"/>
      <c r="X284" s="32"/>
      <c r="Y284" s="32"/>
      <c r="Z284" s="32"/>
      <c r="AA284" s="32"/>
      <c r="AB284" s="32"/>
    </row>
    <row r="285" spans="2:28" ht="14.4">
      <c r="B285" s="714" t="s">
        <v>538</v>
      </c>
      <c r="C285" s="715">
        <v>3750</v>
      </c>
      <c r="D285" s="715">
        <v>1768</v>
      </c>
      <c r="E285" s="717">
        <v>5376</v>
      </c>
      <c r="F285" s="32"/>
      <c r="G285" s="32"/>
      <c r="H285" s="32"/>
      <c r="N285" s="32"/>
      <c r="O285" s="32"/>
      <c r="P285" s="32"/>
      <c r="Q285" s="32"/>
      <c r="R285" s="32"/>
      <c r="S285" s="32"/>
      <c r="T285" s="32"/>
      <c r="U285" s="141"/>
      <c r="V285" s="32"/>
      <c r="W285" s="32"/>
      <c r="X285" s="32"/>
      <c r="Y285" s="32"/>
      <c r="Z285" s="32"/>
      <c r="AA285" s="32"/>
      <c r="AB285" s="32"/>
    </row>
    <row r="286" spans="2:28" ht="14.4">
      <c r="B286" s="714" t="s">
        <v>539</v>
      </c>
      <c r="C286" s="715">
        <v>1954</v>
      </c>
      <c r="D286" s="715">
        <v>1121</v>
      </c>
      <c r="E286" s="717">
        <v>5376</v>
      </c>
      <c r="F286" s="32"/>
      <c r="G286" s="32"/>
      <c r="H286" s="32"/>
      <c r="N286" s="32"/>
      <c r="O286" s="32"/>
      <c r="P286" s="32"/>
      <c r="Q286" s="32"/>
      <c r="R286" s="32"/>
      <c r="S286" s="32"/>
      <c r="T286" s="32"/>
      <c r="U286" s="141"/>
      <c r="V286" s="32"/>
      <c r="W286" s="32"/>
      <c r="X286" s="32"/>
      <c r="Y286" s="32"/>
      <c r="Z286" s="32"/>
      <c r="AA286" s="32"/>
      <c r="AB286" s="32"/>
    </row>
    <row r="287" spans="2:28" ht="14.4">
      <c r="B287" s="714" t="s">
        <v>540</v>
      </c>
      <c r="C287" s="715">
        <v>3748</v>
      </c>
      <c r="D287" s="715">
        <v>1767</v>
      </c>
      <c r="E287" s="717">
        <v>5376</v>
      </c>
      <c r="F287" s="32"/>
      <c r="G287" s="32"/>
      <c r="H287" s="32"/>
      <c r="N287" s="32"/>
      <c r="O287" s="32"/>
      <c r="P287" s="32"/>
      <c r="Q287" s="32"/>
      <c r="R287" s="32"/>
      <c r="S287" s="32"/>
      <c r="T287" s="32"/>
      <c r="U287" s="141"/>
      <c r="V287" s="32"/>
      <c r="W287" s="32"/>
      <c r="X287" s="32"/>
      <c r="Y287" s="32"/>
      <c r="Z287" s="32"/>
      <c r="AA287" s="32"/>
      <c r="AB287" s="32"/>
    </row>
    <row r="288" spans="2:28" ht="14.4">
      <c r="B288" s="714" t="s">
        <v>541</v>
      </c>
      <c r="C288" s="715">
        <v>6456</v>
      </c>
      <c r="D288" s="715">
        <v>2742</v>
      </c>
      <c r="E288" s="717">
        <v>5376</v>
      </c>
      <c r="F288" s="32"/>
      <c r="G288" s="32"/>
      <c r="H288" s="32"/>
      <c r="N288" s="32"/>
      <c r="O288" s="32"/>
      <c r="P288" s="32"/>
      <c r="Q288" s="32"/>
      <c r="R288" s="32"/>
      <c r="S288" s="32"/>
      <c r="T288" s="32"/>
      <c r="U288" s="141"/>
      <c r="V288" s="32"/>
      <c r="W288" s="32"/>
      <c r="X288" s="32"/>
      <c r="Y288" s="32"/>
      <c r="Z288" s="32"/>
      <c r="AA288" s="32"/>
      <c r="AB288" s="32"/>
    </row>
    <row r="289" spans="2:28" ht="14.4">
      <c r="B289" s="714" t="s">
        <v>542</v>
      </c>
      <c r="C289" s="715">
        <v>2602</v>
      </c>
      <c r="D289" s="715">
        <v>1354</v>
      </c>
      <c r="E289" s="717">
        <v>5376</v>
      </c>
      <c r="F289" s="32"/>
      <c r="G289" s="32"/>
      <c r="H289" s="32"/>
      <c r="N289" s="32"/>
      <c r="O289" s="32"/>
      <c r="P289" s="32"/>
      <c r="Q289" s="32"/>
      <c r="R289" s="32"/>
      <c r="S289" s="32"/>
      <c r="T289" s="32"/>
      <c r="U289" s="141"/>
      <c r="V289" s="32"/>
      <c r="W289" s="32"/>
      <c r="X289" s="32"/>
      <c r="Y289" s="32"/>
      <c r="Z289" s="32"/>
      <c r="AA289" s="32"/>
      <c r="AB289" s="32"/>
    </row>
    <row r="290" spans="2:28" ht="14.4">
      <c r="B290" s="714" t="s">
        <v>543</v>
      </c>
      <c r="C290" s="715">
        <v>6631</v>
      </c>
      <c r="D290" s="715">
        <v>2805</v>
      </c>
      <c r="E290" s="717">
        <v>5376</v>
      </c>
      <c r="F290" s="32"/>
      <c r="G290" s="32"/>
      <c r="H290" s="32"/>
      <c r="N290" s="32"/>
      <c r="O290" s="32"/>
      <c r="P290" s="32"/>
      <c r="Q290" s="32"/>
      <c r="R290" s="32"/>
      <c r="S290" s="32"/>
      <c r="T290" s="32"/>
      <c r="U290" s="141"/>
      <c r="V290" s="32"/>
      <c r="W290" s="32"/>
      <c r="X290" s="32"/>
      <c r="Y290" s="32"/>
      <c r="Z290" s="32"/>
      <c r="AA290" s="32"/>
      <c r="AB290" s="32"/>
    </row>
    <row r="291" spans="2:28" ht="15" thickBot="1">
      <c r="B291" s="718" t="s">
        <v>544</v>
      </c>
      <c r="C291" s="719">
        <v>3750</v>
      </c>
      <c r="D291" s="719">
        <v>1768</v>
      </c>
      <c r="E291" s="720">
        <v>5376</v>
      </c>
      <c r="F291" s="32"/>
      <c r="G291" s="32"/>
      <c r="H291" s="32"/>
      <c r="N291" s="32"/>
      <c r="O291" s="32"/>
      <c r="P291" s="32"/>
      <c r="Q291" s="32"/>
      <c r="R291" s="32"/>
      <c r="S291" s="32"/>
      <c r="T291" s="32"/>
      <c r="U291" s="141"/>
      <c r="V291" s="32"/>
      <c r="W291" s="32"/>
      <c r="X291" s="32"/>
      <c r="Y291" s="32"/>
      <c r="Z291" s="32"/>
      <c r="AA291" s="32"/>
      <c r="AB291" s="32"/>
    </row>
    <row r="292" spans="2:28" ht="14.4">
      <c r="B292" s="60" t="s">
        <v>545</v>
      </c>
      <c r="C292" s="32"/>
      <c r="D292" s="32"/>
      <c r="E292" s="32"/>
      <c r="F292" s="32"/>
      <c r="G292" s="32"/>
      <c r="H292" s="32"/>
      <c r="N292" s="32"/>
      <c r="O292" s="32"/>
      <c r="P292" s="32"/>
      <c r="Q292" s="32"/>
      <c r="R292" s="32"/>
      <c r="S292" s="32"/>
      <c r="T292" s="32"/>
      <c r="U292" s="141"/>
      <c r="V292" s="32"/>
      <c r="W292" s="32"/>
      <c r="X292" s="32"/>
      <c r="Y292" s="32"/>
      <c r="Z292" s="32"/>
      <c r="AA292" s="32"/>
      <c r="AB292" s="32"/>
    </row>
    <row r="293" spans="2:28" ht="14.4">
      <c r="B293" s="32"/>
      <c r="C293" s="32"/>
      <c r="D293" s="32"/>
      <c r="E293" s="32"/>
      <c r="F293" s="32"/>
      <c r="G293" s="32"/>
      <c r="H293" s="32"/>
      <c r="N293" s="32"/>
      <c r="O293" s="32"/>
      <c r="P293" s="32"/>
      <c r="Q293" s="32"/>
      <c r="R293" s="32"/>
      <c r="S293" s="32"/>
      <c r="T293" s="32"/>
      <c r="U293" s="141"/>
      <c r="V293" s="32"/>
      <c r="W293" s="32"/>
      <c r="X293" s="32"/>
      <c r="Y293" s="32"/>
      <c r="Z293" s="32"/>
      <c r="AA293" s="32"/>
      <c r="AB293" s="32"/>
    </row>
    <row r="294" spans="2:28" ht="14.4">
      <c r="H294" s="12"/>
      <c r="N294" s="32"/>
      <c r="O294" s="32"/>
      <c r="P294" s="32"/>
      <c r="Q294" s="32"/>
      <c r="R294" s="32"/>
      <c r="S294" s="32"/>
      <c r="T294" s="32"/>
      <c r="U294" s="141"/>
      <c r="V294" s="32"/>
      <c r="W294" s="32"/>
      <c r="X294" s="32"/>
      <c r="Y294" s="32"/>
      <c r="Z294" s="32"/>
      <c r="AA294" s="32"/>
      <c r="AB294" s="32"/>
    </row>
    <row r="295" spans="2:28" ht="14.4">
      <c r="H295" s="12"/>
      <c r="N295" s="32"/>
      <c r="O295" s="32"/>
      <c r="P295" s="32"/>
      <c r="Q295" s="32"/>
      <c r="R295" s="32"/>
      <c r="S295" s="32"/>
      <c r="T295" s="32"/>
      <c r="U295" s="141"/>
      <c r="V295" s="32"/>
      <c r="W295" s="32"/>
      <c r="X295" s="32"/>
      <c r="Y295" s="32"/>
      <c r="Z295" s="32"/>
      <c r="AA295" s="32"/>
      <c r="AB295" s="32"/>
    </row>
    <row r="296" spans="2:28" ht="14.4">
      <c r="M296" s="32"/>
      <c r="N296" s="32"/>
      <c r="O296" s="32"/>
      <c r="P296" s="32"/>
      <c r="Q296" s="32"/>
      <c r="R296" s="32"/>
      <c r="S296" s="32"/>
      <c r="T296" s="32"/>
      <c r="U296" s="141"/>
      <c r="V296" s="32"/>
      <c r="W296" s="32"/>
      <c r="X296" s="32"/>
      <c r="Y296" s="32"/>
      <c r="Z296" s="32"/>
      <c r="AA296" s="32"/>
      <c r="AB296" s="32"/>
    </row>
    <row r="297" spans="2:28" ht="14.4">
      <c r="M297" s="32"/>
      <c r="N297" s="32"/>
      <c r="O297" s="32"/>
      <c r="P297" s="32"/>
      <c r="Q297" s="32"/>
      <c r="R297" s="32"/>
      <c r="S297" s="32"/>
      <c r="T297" s="32"/>
      <c r="U297" s="141"/>
      <c r="V297" s="32"/>
      <c r="W297" s="32"/>
      <c r="X297" s="32"/>
      <c r="Y297" s="32"/>
      <c r="Z297" s="32"/>
      <c r="AA297" s="32"/>
      <c r="AB297" s="32"/>
    </row>
    <row r="298" spans="2:28" ht="14.4">
      <c r="M298" s="32"/>
      <c r="N298" s="32"/>
      <c r="O298" s="32"/>
      <c r="P298" s="32"/>
      <c r="Q298" s="32"/>
      <c r="R298" s="32"/>
      <c r="S298" s="32"/>
      <c r="T298" s="32"/>
      <c r="U298" s="141"/>
      <c r="V298" s="32"/>
      <c r="W298" s="32"/>
      <c r="X298" s="32"/>
      <c r="Y298" s="32"/>
      <c r="Z298" s="32"/>
      <c r="AA298" s="32"/>
      <c r="AB298" s="32"/>
    </row>
    <row r="299" spans="2:28" ht="14.4">
      <c r="M299" s="32"/>
      <c r="N299" s="32"/>
      <c r="O299" s="32"/>
      <c r="P299" s="32"/>
      <c r="Q299" s="32"/>
      <c r="R299" s="32"/>
      <c r="S299" s="32"/>
      <c r="T299" s="32"/>
      <c r="U299" s="141"/>
      <c r="V299" s="32"/>
      <c r="W299" s="32"/>
      <c r="X299" s="32"/>
      <c r="Y299" s="32"/>
      <c r="Z299" s="32"/>
      <c r="AA299" s="32"/>
      <c r="AB299" s="32"/>
    </row>
    <row r="300" spans="2:28" ht="14.4">
      <c r="M300" s="32"/>
      <c r="N300" s="32"/>
      <c r="O300" s="32"/>
      <c r="P300" s="32"/>
      <c r="Q300" s="32"/>
      <c r="R300" s="32"/>
      <c r="S300" s="32"/>
      <c r="T300" s="32"/>
      <c r="U300" s="141"/>
      <c r="V300" s="32"/>
      <c r="W300" s="32"/>
      <c r="X300" s="32"/>
      <c r="Y300" s="32"/>
      <c r="Z300" s="32"/>
      <c r="AA300" s="32"/>
      <c r="AB300" s="32"/>
    </row>
    <row r="301" spans="2:28" ht="14.4">
      <c r="M301" s="32"/>
      <c r="N301" s="32"/>
      <c r="O301" s="32"/>
      <c r="P301" s="32"/>
      <c r="Q301" s="32"/>
      <c r="R301" s="32"/>
      <c r="S301" s="32"/>
      <c r="T301" s="32"/>
      <c r="U301" s="141"/>
      <c r="V301" s="32"/>
      <c r="W301" s="32"/>
      <c r="X301" s="32"/>
      <c r="Y301" s="32"/>
      <c r="Z301" s="32"/>
      <c r="AA301" s="32"/>
      <c r="AB301" s="32"/>
    </row>
    <row r="302" spans="2:28" ht="14.4">
      <c r="M302" s="32"/>
      <c r="N302" s="32"/>
      <c r="O302" s="32"/>
      <c r="P302" s="32"/>
      <c r="Q302" s="32"/>
      <c r="R302" s="32"/>
      <c r="S302" s="32"/>
      <c r="T302" s="32"/>
      <c r="U302" s="141"/>
      <c r="V302" s="32"/>
      <c r="W302" s="32"/>
      <c r="X302" s="32"/>
      <c r="Y302" s="32"/>
      <c r="Z302" s="32"/>
      <c r="AA302" s="32"/>
      <c r="AB302" s="32"/>
    </row>
    <row r="303" spans="2:28" ht="14.4">
      <c r="M303" s="32"/>
      <c r="N303" s="32"/>
      <c r="O303" s="32"/>
      <c r="P303" s="32"/>
      <c r="Q303" s="32"/>
      <c r="R303" s="32"/>
      <c r="S303" s="32"/>
      <c r="T303" s="32"/>
      <c r="U303" s="141"/>
      <c r="V303" s="32"/>
      <c r="W303" s="32"/>
      <c r="X303" s="32"/>
      <c r="Y303" s="32"/>
      <c r="Z303" s="32"/>
      <c r="AA303" s="32"/>
      <c r="AB303" s="32"/>
    </row>
    <row r="304" spans="2:28" ht="14.4">
      <c r="M304" s="32"/>
      <c r="N304" s="32"/>
      <c r="O304" s="32"/>
      <c r="P304" s="32"/>
      <c r="Q304" s="32"/>
      <c r="R304" s="32"/>
      <c r="S304" s="32"/>
      <c r="T304" s="32"/>
      <c r="U304" s="141"/>
      <c r="V304" s="32"/>
      <c r="W304" s="32"/>
      <c r="X304" s="32"/>
      <c r="Y304" s="32"/>
      <c r="Z304" s="32"/>
      <c r="AA304" s="32"/>
      <c r="AB304" s="32"/>
    </row>
    <row r="305" spans="13:28" ht="14.4">
      <c r="M305" s="32"/>
      <c r="N305" s="32"/>
      <c r="O305" s="32"/>
      <c r="P305" s="32"/>
      <c r="Q305" s="32"/>
      <c r="R305" s="32"/>
      <c r="S305" s="32"/>
      <c r="T305" s="32"/>
      <c r="U305" s="141"/>
      <c r="V305" s="32"/>
      <c r="W305" s="32"/>
      <c r="X305" s="32"/>
      <c r="Y305" s="32"/>
      <c r="Z305" s="32"/>
      <c r="AA305" s="32"/>
      <c r="AB305" s="32"/>
    </row>
    <row r="306" spans="13:28" ht="14.4">
      <c r="M306" s="32"/>
      <c r="N306" s="32"/>
      <c r="O306" s="32"/>
      <c r="P306" s="32"/>
      <c r="Q306" s="32"/>
      <c r="R306" s="32"/>
      <c r="S306" s="32"/>
      <c r="T306" s="32"/>
      <c r="U306" s="141"/>
      <c r="V306" s="32"/>
      <c r="W306" s="32"/>
      <c r="X306" s="32"/>
      <c r="Y306" s="32"/>
      <c r="Z306" s="32"/>
      <c r="AA306" s="32"/>
      <c r="AB306" s="32"/>
    </row>
    <row r="307" spans="13:28" ht="14.4">
      <c r="M307" s="32"/>
      <c r="N307" s="32"/>
      <c r="O307" s="32"/>
      <c r="P307" s="32"/>
      <c r="Q307" s="32"/>
      <c r="R307" s="32"/>
      <c r="S307" s="32"/>
      <c r="T307" s="32"/>
      <c r="U307" s="141"/>
      <c r="V307" s="32"/>
      <c r="W307" s="32"/>
      <c r="X307" s="32"/>
      <c r="Y307" s="32"/>
      <c r="Z307" s="32"/>
      <c r="AA307" s="32"/>
      <c r="AB307" s="32"/>
    </row>
    <row r="308" spans="13:28" ht="14.4">
      <c r="Z308" s="32"/>
      <c r="AA308" s="32"/>
      <c r="AB308" s="32"/>
    </row>
    <row r="309" spans="13:28" ht="14.4">
      <c r="Z309" s="32"/>
      <c r="AA309" s="32"/>
      <c r="AB309" s="32"/>
    </row>
    <row r="310" spans="13:28" ht="14.4">
      <c r="Z310" s="32"/>
      <c r="AA310" s="32"/>
      <c r="AB310" s="32"/>
    </row>
    <row r="311" spans="13:28" ht="14.4">
      <c r="Z311" s="32"/>
      <c r="AA311" s="32"/>
      <c r="AB311" s="32"/>
    </row>
    <row r="312" spans="13:28" ht="14.4">
      <c r="Z312" s="32"/>
      <c r="AA312" s="32"/>
      <c r="AB312" s="32"/>
    </row>
    <row r="313" spans="13:28" ht="14.4">
      <c r="Z313" s="32"/>
      <c r="AA313" s="32"/>
      <c r="AB313" s="32"/>
    </row>
    <row r="314" spans="13:28" ht="14.4">
      <c r="Z314" s="32"/>
      <c r="AA314" s="32"/>
      <c r="AB314" s="32"/>
    </row>
    <row r="315" spans="13:28" ht="14.4">
      <c r="Z315" s="32"/>
      <c r="AA315" s="32"/>
      <c r="AB315" s="32"/>
    </row>
    <row r="316" spans="13:28" ht="14.4">
      <c r="Z316" s="32"/>
      <c r="AA316" s="32"/>
      <c r="AB316" s="32"/>
    </row>
    <row r="317" spans="13:28" ht="14.4">
      <c r="Z317" s="32"/>
      <c r="AA317" s="32"/>
      <c r="AB317" s="32"/>
    </row>
    <row r="318" spans="13:28" ht="14.4">
      <c r="Z318" s="32"/>
      <c r="AA318" s="32"/>
      <c r="AB318" s="32"/>
    </row>
    <row r="319" spans="13:28" ht="14.4">
      <c r="Z319" s="32"/>
      <c r="AA319" s="32"/>
      <c r="AB319" s="32"/>
    </row>
    <row r="320" spans="13:28" ht="14.4">
      <c r="Z320" s="32"/>
      <c r="AA320" s="32"/>
      <c r="AB320" s="32"/>
    </row>
    <row r="321" spans="26:28" ht="14.4">
      <c r="Z321" s="32"/>
      <c r="AA321" s="32"/>
      <c r="AB321" s="32"/>
    </row>
    <row r="322" spans="26:28" ht="14.4">
      <c r="Z322" s="32"/>
      <c r="AA322" s="32"/>
      <c r="AB322" s="32"/>
    </row>
    <row r="323" spans="26:28" ht="14.4">
      <c r="Z323" s="32"/>
      <c r="AA323" s="32"/>
      <c r="AB323" s="32"/>
    </row>
    <row r="324" spans="26:28" ht="14.4">
      <c r="Z324" s="32"/>
      <c r="AA324" s="32"/>
      <c r="AB324" s="32"/>
    </row>
    <row r="325" spans="26:28" ht="14.4">
      <c r="Z325" s="32"/>
      <c r="AA325" s="32"/>
      <c r="AB325" s="32"/>
    </row>
    <row r="326" spans="26:28" ht="14.4">
      <c r="Z326" s="32"/>
      <c r="AA326" s="32"/>
      <c r="AB326" s="32"/>
    </row>
    <row r="327" spans="26:28" ht="14.4">
      <c r="Z327" s="32"/>
      <c r="AA327" s="32"/>
      <c r="AB327" s="32"/>
    </row>
    <row r="328" spans="26:28" ht="14.4">
      <c r="Z328" s="32"/>
      <c r="AA328" s="32"/>
      <c r="AB328" s="32"/>
    </row>
    <row r="329" spans="26:28" ht="14.4">
      <c r="Z329" s="32"/>
      <c r="AA329" s="32"/>
      <c r="AB329" s="32"/>
    </row>
  </sheetData>
  <mergeCells count="154">
    <mergeCell ref="V227:V229"/>
    <mergeCell ref="B230:E230"/>
    <mergeCell ref="L256:Q256"/>
    <mergeCell ref="L257:Q257"/>
    <mergeCell ref="H135:H150"/>
    <mergeCell ref="D152:F154"/>
    <mergeCell ref="I156:K156"/>
    <mergeCell ref="B214:D214"/>
    <mergeCell ref="K214:M214"/>
    <mergeCell ref="K226:U226"/>
    <mergeCell ref="H117:H132"/>
    <mergeCell ref="H133:H134"/>
    <mergeCell ref="I133:I134"/>
    <mergeCell ref="J133:J134"/>
    <mergeCell ref="K133:K134"/>
    <mergeCell ref="L133:L134"/>
    <mergeCell ref="M133:M134"/>
    <mergeCell ref="R110:S110"/>
    <mergeCell ref="R111:S111"/>
    <mergeCell ref="R112:S112"/>
    <mergeCell ref="R113:S113"/>
    <mergeCell ref="B115:D115"/>
    <mergeCell ref="H115:H116"/>
    <mergeCell ref="I115:I116"/>
    <mergeCell ref="J115:J116"/>
    <mergeCell ref="K115:K116"/>
    <mergeCell ref="L115:L116"/>
    <mergeCell ref="R104:S104"/>
    <mergeCell ref="R105:S105"/>
    <mergeCell ref="R106:S106"/>
    <mergeCell ref="R107:S107"/>
    <mergeCell ref="R108:S108"/>
    <mergeCell ref="R109:S109"/>
    <mergeCell ref="M115:M116"/>
    <mergeCell ref="R98:S98"/>
    <mergeCell ref="R99:S99"/>
    <mergeCell ref="R100:S100"/>
    <mergeCell ref="R101:S101"/>
    <mergeCell ref="R102:S102"/>
    <mergeCell ref="R103:S103"/>
    <mergeCell ref="B89:D89"/>
    <mergeCell ref="H90:H113"/>
    <mergeCell ref="R90:S90"/>
    <mergeCell ref="R91:S91"/>
    <mergeCell ref="R92:S92"/>
    <mergeCell ref="R93:S93"/>
    <mergeCell ref="R94:S94"/>
    <mergeCell ref="R95:S95"/>
    <mergeCell ref="R96:S96"/>
    <mergeCell ref="R97:S97"/>
    <mergeCell ref="M88:M89"/>
    <mergeCell ref="N88:N89"/>
    <mergeCell ref="O88:O89"/>
    <mergeCell ref="P88:P89"/>
    <mergeCell ref="Q88:Q89"/>
    <mergeCell ref="R88:S89"/>
    <mergeCell ref="H68:H85"/>
    <mergeCell ref="H88:H89"/>
    <mergeCell ref="I88:I89"/>
    <mergeCell ref="J88:J89"/>
    <mergeCell ref="K88:K89"/>
    <mergeCell ref="L88:L89"/>
    <mergeCell ref="O66:O67"/>
    <mergeCell ref="P66:P67"/>
    <mergeCell ref="Q66:Q67"/>
    <mergeCell ref="R66:R67"/>
    <mergeCell ref="S66:S67"/>
    <mergeCell ref="T66:T67"/>
    <mergeCell ref="R61:S61"/>
    <mergeCell ref="R62:S62"/>
    <mergeCell ref="R63:S63"/>
    <mergeCell ref="H66:H67"/>
    <mergeCell ref="I66:I67"/>
    <mergeCell ref="J66:J67"/>
    <mergeCell ref="K66:K67"/>
    <mergeCell ref="L66:L67"/>
    <mergeCell ref="M66:M67"/>
    <mergeCell ref="N66:N67"/>
    <mergeCell ref="R55:S55"/>
    <mergeCell ref="R56:S56"/>
    <mergeCell ref="R57:S57"/>
    <mergeCell ref="R58:S58"/>
    <mergeCell ref="R59:S59"/>
    <mergeCell ref="R60:S60"/>
    <mergeCell ref="R49:S49"/>
    <mergeCell ref="R50:S50"/>
    <mergeCell ref="R51:S51"/>
    <mergeCell ref="R52:S52"/>
    <mergeCell ref="R53:S53"/>
    <mergeCell ref="R54:S54"/>
    <mergeCell ref="R43:S43"/>
    <mergeCell ref="R44:S44"/>
    <mergeCell ref="R45:S45"/>
    <mergeCell ref="R46:S46"/>
    <mergeCell ref="R47:S47"/>
    <mergeCell ref="R48:S48"/>
    <mergeCell ref="R38:S38"/>
    <mergeCell ref="R39:S39"/>
    <mergeCell ref="V39:X39"/>
    <mergeCell ref="R40:S40"/>
    <mergeCell ref="R41:S41"/>
    <mergeCell ref="R42:S42"/>
    <mergeCell ref="R33:S33"/>
    <mergeCell ref="R34:S34"/>
    <mergeCell ref="R35:S35"/>
    <mergeCell ref="V35:X35"/>
    <mergeCell ref="R36:S36"/>
    <mergeCell ref="R37:S37"/>
    <mergeCell ref="R29:S29"/>
    <mergeCell ref="R30:S30"/>
    <mergeCell ref="R31:S31"/>
    <mergeCell ref="AA31:AB31"/>
    <mergeCell ref="R32:S32"/>
    <mergeCell ref="V32:X32"/>
    <mergeCell ref="R23:S23"/>
    <mergeCell ref="R24:S24"/>
    <mergeCell ref="R25:S25"/>
    <mergeCell ref="R26:S26"/>
    <mergeCell ref="R27:S27"/>
    <mergeCell ref="R28:S28"/>
    <mergeCell ref="R19:S19"/>
    <mergeCell ref="R20:S20"/>
    <mergeCell ref="R21:S21"/>
    <mergeCell ref="R22:S22"/>
    <mergeCell ref="R11:S11"/>
    <mergeCell ref="R12:S12"/>
    <mergeCell ref="R13:S13"/>
    <mergeCell ref="R14:S14"/>
    <mergeCell ref="R15:S15"/>
    <mergeCell ref="R16:S16"/>
    <mergeCell ref="Y2:Z2"/>
    <mergeCell ref="AA2:AB2"/>
    <mergeCell ref="H4:H63"/>
    <mergeCell ref="R4:S4"/>
    <mergeCell ref="R5:S5"/>
    <mergeCell ref="R6:S6"/>
    <mergeCell ref="R7:S7"/>
    <mergeCell ref="R8:S8"/>
    <mergeCell ref="R9:S9"/>
    <mergeCell ref="R10:S10"/>
    <mergeCell ref="N2:N3"/>
    <mergeCell ref="O2:O3"/>
    <mergeCell ref="P2:P3"/>
    <mergeCell ref="Q2:Q3"/>
    <mergeCell ref="R2:S3"/>
    <mergeCell ref="W2:X2"/>
    <mergeCell ref="H2:H3"/>
    <mergeCell ref="I2:I3"/>
    <mergeCell ref="J2:J3"/>
    <mergeCell ref="K2:K3"/>
    <mergeCell ref="L2:L3"/>
    <mergeCell ref="M2:M3"/>
    <mergeCell ref="R17:S17"/>
    <mergeCell ref="R18:S18"/>
  </mergeCells>
  <hyperlinks>
    <hyperlink ref="Z34" r:id="rId1" xr:uid="{E992E136-C9CD-436F-BBD2-BC847D3C8659}"/>
    <hyperlink ref="V29" r:id="rId2" xr:uid="{6E32B227-5328-4CB8-B2FF-0F41EE51964E}"/>
    <hyperlink ref="V27" r:id="rId3" xr:uid="{05D74121-B72F-4ECA-998E-72934F99354A}"/>
  </hyperlinks>
  <pageMargins left="0.7" right="0.7" top="0.75" bottom="0.75" header="0.3" footer="0.3"/>
  <pageSetup orientation="portrait" r:id="rId4"/>
  <drawing r:id="rId5"/>
  <tableParts count="3">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1879-7CC9-4972-91EA-4BF8C9421A91}">
  <sheetPr codeName="Sheet15"/>
  <dimension ref="B2:E15"/>
  <sheetViews>
    <sheetView showGridLines="0" workbookViewId="0">
      <selection activeCell="D4" sqref="D4"/>
    </sheetView>
  </sheetViews>
  <sheetFormatPr defaultRowHeight="14.4"/>
  <cols>
    <col min="1" max="1" width="3" customWidth="1"/>
    <col min="3" max="3" width="11.44140625" customWidth="1"/>
    <col min="4" max="4" width="56.6640625" customWidth="1"/>
    <col min="5" max="5" width="15.44140625" customWidth="1"/>
  </cols>
  <sheetData>
    <row r="2" spans="2:5">
      <c r="B2" s="633" t="s">
        <v>914</v>
      </c>
      <c r="C2" s="633" t="s">
        <v>915</v>
      </c>
      <c r="D2" s="633" t="s">
        <v>916</v>
      </c>
      <c r="E2" s="633" t="s">
        <v>917</v>
      </c>
    </row>
    <row r="3" spans="2:5">
      <c r="B3" s="634" t="s">
        <v>918</v>
      </c>
      <c r="C3" s="635">
        <v>44927</v>
      </c>
      <c r="D3" s="634" t="s">
        <v>919</v>
      </c>
      <c r="E3" s="634" t="s">
        <v>920</v>
      </c>
    </row>
    <row r="4" spans="2:5">
      <c r="B4" s="634"/>
      <c r="C4" s="635"/>
      <c r="D4" s="634"/>
      <c r="E4" s="634"/>
    </row>
    <row r="5" spans="2:5">
      <c r="B5" s="634"/>
      <c r="C5" s="635"/>
      <c r="D5" s="634"/>
      <c r="E5" s="634"/>
    </row>
    <row r="6" spans="2:5">
      <c r="B6" s="634"/>
      <c r="C6" s="635"/>
      <c r="D6" s="634"/>
      <c r="E6" s="634"/>
    </row>
    <row r="7" spans="2:5">
      <c r="B7" s="634"/>
      <c r="C7" s="635"/>
      <c r="D7" s="634"/>
      <c r="E7" s="634"/>
    </row>
    <row r="8" spans="2:5">
      <c r="B8" s="634"/>
      <c r="C8" s="635"/>
      <c r="D8" s="634"/>
      <c r="E8" s="634"/>
    </row>
    <row r="9" spans="2:5">
      <c r="B9" s="634"/>
      <c r="C9" s="635"/>
      <c r="D9" s="634"/>
      <c r="E9" s="634"/>
    </row>
    <row r="10" spans="2:5">
      <c r="B10" s="634"/>
      <c r="C10" s="635"/>
      <c r="D10" s="634"/>
      <c r="E10" s="634"/>
    </row>
    <row r="11" spans="2:5">
      <c r="B11" s="634"/>
      <c r="C11" s="635"/>
      <c r="D11" s="634"/>
      <c r="E11" s="634"/>
    </row>
    <row r="12" spans="2:5">
      <c r="B12" s="634"/>
      <c r="C12" s="635"/>
      <c r="D12" s="634"/>
      <c r="E12" s="634"/>
    </row>
    <row r="13" spans="2:5">
      <c r="B13" s="634"/>
      <c r="C13" s="635"/>
      <c r="D13" s="634"/>
      <c r="E13" s="634"/>
    </row>
    <row r="14" spans="2:5">
      <c r="B14" s="634"/>
      <c r="C14" s="635"/>
      <c r="D14" s="634"/>
      <c r="E14" s="634"/>
    </row>
    <row r="15" spans="2:5">
      <c r="B15" s="634"/>
      <c r="C15" s="635"/>
      <c r="D15" s="634"/>
      <c r="E15" s="634"/>
    </row>
  </sheetData>
  <sheetProtection algorithmName="SHA-512" hashValue="YAocE8JK7+LEC5K3osPiFV5AMx0+fBSEwqOwn/vVPAGi8KHfQ7DSDX2aSH0fJgTP8KzSjbZBr3hLm+PeRTMLdA==" saltValue="SnBQDen3b9GjotdhomB0I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f236a8-f27f-4465-84ea-75cda64d2fe6" xsi:nil="true"/>
    <lcf76f155ced4ddcb4097134ff3c332f xmlns="c9e72af1-5cda-474b-bed5-159406ef33a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7C961E0702E04D83FD492471C2B51C" ma:contentTypeVersion="18" ma:contentTypeDescription="Create a new document." ma:contentTypeScope="" ma:versionID="6675cc008c1ef5f64eeee651ad85aa6d">
  <xsd:schema xmlns:xsd="http://www.w3.org/2001/XMLSchema" xmlns:xs="http://www.w3.org/2001/XMLSchema" xmlns:p="http://schemas.microsoft.com/office/2006/metadata/properties" xmlns:ns2="c9e72af1-5cda-474b-bed5-159406ef33a6" xmlns:ns3="e0f236a8-f27f-4465-84ea-75cda64d2fe6" targetNamespace="http://schemas.microsoft.com/office/2006/metadata/properties" ma:root="true" ma:fieldsID="1eed9324978f6d0e9f72ee7f20aed931" ns2:_="" ns3:_="">
    <xsd:import namespace="c9e72af1-5cda-474b-bed5-159406ef33a6"/>
    <xsd:import namespace="e0f236a8-f27f-4465-84ea-75cda64d2f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72af1-5cda-474b-bed5-159406ef3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aff682-4648-498e-9dd9-19867955e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236a8-f27f-4465-84ea-75cda64d2f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0bec2f-895c-44de-9185-818e6a8b313f}" ma:internalName="TaxCatchAll" ma:showField="CatchAllData" ma:web="e0f236a8-f27f-4465-84ea-75cda64d2f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AF67CAC-B20B-4630-9AFC-8E92ADACC74A}">
  <ds:schemaRefs>
    <ds:schemaRef ds:uri="http://schemas.microsoft.com/sharepoint/v3/contenttype/forms"/>
  </ds:schemaRefs>
</ds:datastoreItem>
</file>

<file path=customXml/itemProps2.xml><?xml version="1.0" encoding="utf-8"?>
<ds:datastoreItem xmlns:ds="http://schemas.openxmlformats.org/officeDocument/2006/customXml" ds:itemID="{CB52BE39-A8EC-475B-AB5B-08FC6B0A0BE3}">
  <ds:schemaRefs>
    <ds:schemaRef ds:uri="http://schemas.microsoft.com/office/2006/metadata/properties"/>
    <ds:schemaRef ds:uri="http://purl.org/dc/elements/1.1/"/>
    <ds:schemaRef ds:uri="http://purl.org/dc/terms/"/>
    <ds:schemaRef ds:uri="http://www.w3.org/XML/1998/namespace"/>
    <ds:schemaRef ds:uri="http://purl.org/dc/dcmitype/"/>
    <ds:schemaRef ds:uri="fc7a9227-6928-4d51-a332-e289ad8dd37e"/>
    <ds:schemaRef ds:uri="http://schemas.openxmlformats.org/package/2006/metadata/core-properties"/>
    <ds:schemaRef ds:uri="http://schemas.microsoft.com/office/2006/documentManagement/types"/>
    <ds:schemaRef ds:uri="http://schemas.microsoft.com/office/infopath/2007/PartnerControls"/>
    <ds:schemaRef ds:uri="3e267e39-8300-4506-8872-6acd514771e7"/>
    <ds:schemaRef ds:uri="http://schemas.microsoft.com/sharepoint/v3"/>
  </ds:schemaRefs>
</ds:datastoreItem>
</file>

<file path=customXml/itemProps3.xml><?xml version="1.0" encoding="utf-8"?>
<ds:datastoreItem xmlns:ds="http://schemas.openxmlformats.org/officeDocument/2006/customXml" ds:itemID="{DE419F7F-A6B8-4BE9-8035-A82CE8348026}"/>
</file>

<file path=customXml/itemProps4.xml><?xml version="1.0" encoding="utf-8"?>
<ds:datastoreItem xmlns:ds="http://schemas.openxmlformats.org/officeDocument/2006/customXml" ds:itemID="{B36D5C6A-3273-4B1D-BDCA-70B4817419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66</vt:i4>
      </vt:variant>
    </vt:vector>
  </HeadingPairs>
  <TitlesOfParts>
    <vt:vector size="86" baseType="lpstr">
      <vt:lpstr>Summary</vt:lpstr>
      <vt:lpstr>Calculator Instructions</vt:lpstr>
      <vt:lpstr>Incentive Levels</vt:lpstr>
      <vt:lpstr>Lookups</vt:lpstr>
      <vt:lpstr>Approved Pre-Rinse Sprayers</vt:lpstr>
      <vt:lpstr>Ice Machine</vt:lpstr>
      <vt:lpstr>Dishwasher</vt:lpstr>
      <vt:lpstr>Freezers</vt:lpstr>
      <vt:lpstr>Clothes Washers</vt:lpstr>
      <vt:lpstr>Ovens</vt:lpstr>
      <vt:lpstr>Fryer</vt:lpstr>
      <vt:lpstr>Griddle</vt:lpstr>
      <vt:lpstr>Hot Food Holding Cabinet</vt:lpstr>
      <vt:lpstr>Steam Cooker</vt:lpstr>
      <vt:lpstr>Night Cover for Refrig. Cases</vt:lpstr>
      <vt:lpstr>Anti-Sweat Heater Controls</vt:lpstr>
      <vt:lpstr>Refrigeration Door Gasket</vt:lpstr>
      <vt:lpstr>Pre-Rinse Spray Valves</vt:lpstr>
      <vt:lpstr>Pre-Rinse Lookups</vt:lpstr>
      <vt:lpstr>Version History</vt:lpstr>
      <vt:lpstr>'Pre-Rinse Lookups'!Air_Source</vt:lpstr>
      <vt:lpstr>Air_Source</vt:lpstr>
      <vt:lpstr>amountCostAdditional</vt:lpstr>
      <vt:lpstr>amountCostLabor</vt:lpstr>
      <vt:lpstr>amountCostMaterials</vt:lpstr>
      <vt:lpstr>amountCostTotal</vt:lpstr>
      <vt:lpstr>amountEstimatedIncentive</vt:lpstr>
      <vt:lpstr>'Pre-Rinse Lookups'!BaselineControlType</vt:lpstr>
      <vt:lpstr>BaselineControlType</vt:lpstr>
      <vt:lpstr>'Pre-Rinse Lookups'!Condensing_Boiler</vt:lpstr>
      <vt:lpstr>Condensing_Boiler</vt:lpstr>
      <vt:lpstr>dateExpectedCompletion</vt:lpstr>
      <vt:lpstr>'Pre-Rinse Lookups'!DischargeDamper</vt:lpstr>
      <vt:lpstr>DischargeDamper</vt:lpstr>
      <vt:lpstr>'Pre-Rinse Lookups'!EddyCurrentDrives</vt:lpstr>
      <vt:lpstr>EddyCurrentDrives</vt:lpstr>
      <vt:lpstr>'Pre-Rinse Lookups'!FlowFraction</vt:lpstr>
      <vt:lpstr>FlowFraction</vt:lpstr>
      <vt:lpstr>'Pre-Rinse Lookups'!Ground_Source</vt:lpstr>
      <vt:lpstr>Ground_Source</vt:lpstr>
      <vt:lpstr>'Pre-Rinse Lookups'!HeatingType</vt:lpstr>
      <vt:lpstr>HeatingType</vt:lpstr>
      <vt:lpstr>'Pre-Rinse Lookups'!Hfg</vt:lpstr>
      <vt:lpstr>Hfg</vt:lpstr>
      <vt:lpstr>'Pre-Rinse Lookups'!HVAC</vt:lpstr>
      <vt:lpstr>HVAC</vt:lpstr>
      <vt:lpstr>'Pre-Rinse Lookups'!InletDamper</vt:lpstr>
      <vt:lpstr>InletDamper</vt:lpstr>
      <vt:lpstr>'Pre-Rinse Lookups'!InletGuideVane</vt:lpstr>
      <vt:lpstr>InletGuideVane</vt:lpstr>
      <vt:lpstr>'Pre-Rinse Lookups'!InletGuideVaneFCFan</vt:lpstr>
      <vt:lpstr>InletGuideVaneFCFan</vt:lpstr>
      <vt:lpstr>'Pre-Rinse Lookups'!InletVaneDamper</vt:lpstr>
      <vt:lpstr>InletVaneDamper</vt:lpstr>
      <vt:lpstr>'Pre-Rinse Lookups'!NoControl</vt:lpstr>
      <vt:lpstr>NoControl</vt:lpstr>
      <vt:lpstr>'Pre-Rinse Lookups'!Non_Condensing_Boiler</vt:lpstr>
      <vt:lpstr>Non_Condensing_Boiler</vt:lpstr>
      <vt:lpstr>numAnnualSavingskWh</vt:lpstr>
      <vt:lpstr>numAnnualSavingsMMBtu</vt:lpstr>
      <vt:lpstr>numAnnualSavingstherms</vt:lpstr>
      <vt:lpstr>numAnnualSavingsTonCO2</vt:lpstr>
      <vt:lpstr>numPeakDemandSavingskW</vt:lpstr>
      <vt:lpstr>'Pre-Rinse Lookups'!OutletDamper</vt:lpstr>
      <vt:lpstr>OutletDamper</vt:lpstr>
      <vt:lpstr>'Pre-Rinse Lookups'!OutletDamperFCFans</vt:lpstr>
      <vt:lpstr>OutletDamperFCFans</vt:lpstr>
      <vt:lpstr>percentCostCap</vt:lpstr>
      <vt:lpstr>'Pre-Rinse Lookups'!Pressure</vt:lpstr>
      <vt:lpstr>Pressure</vt:lpstr>
      <vt:lpstr>'Pre-Rinse Lookups'!RetrofitControlType</vt:lpstr>
      <vt:lpstr>RetrofitControlType</vt:lpstr>
      <vt:lpstr>'Pre-Rinse Lookups'!RHRSChilledWater</vt:lpstr>
      <vt:lpstr>RHRSChilledWater</vt:lpstr>
      <vt:lpstr>'Pre-Rinse Lookups'!RHRSFan</vt:lpstr>
      <vt:lpstr>RHRSFan</vt:lpstr>
      <vt:lpstr>'Pre-Rinse Lookups'!RHRSHeating</vt:lpstr>
      <vt:lpstr>RHRSHeating</vt:lpstr>
      <vt:lpstr>txtBuildingType</vt:lpstr>
      <vt:lpstr>txtZipCode</vt:lpstr>
      <vt:lpstr>'Pre-Rinse Lookups'!VFDApplication</vt:lpstr>
      <vt:lpstr>VFDApplication</vt:lpstr>
      <vt:lpstr>'Pre-Rinse Lookups'!VFDDuctStaticPressure</vt:lpstr>
      <vt:lpstr>VFDDuctStaticPressure</vt:lpstr>
      <vt:lpstr>'Pre-Rinse Lookups'!VFDLowDuctStaticPressure</vt:lpstr>
      <vt:lpstr>VFDLowDuctStaticPressure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Woy</dc:creator>
  <cp:keywords/>
  <dc:description/>
  <cp:lastModifiedBy>Douglas Gilman</cp:lastModifiedBy>
  <cp:revision/>
  <dcterms:created xsi:type="dcterms:W3CDTF">2021-01-12T20:04:51Z</dcterms:created>
  <dcterms:modified xsi:type="dcterms:W3CDTF">2024-04-25T19:16:39Z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0x010100BB7C961E0702E04D83FD492471C2B51C</vt:lpwstr>
  </property>
  <property fmtid="{D5CDD505-2E9C-101B-9397-08002B2CF9AE}" pid="3" name="MediaServiceImageTags">
    <vt:lpwstr/>
  </property>
  <property fmtid="{D5CDD505-2E9C-101B-9397-08002B2CF9AE}" pid="4" name="_AdHocReviewCycleID">
    <vt:i4>-1996089052</vt:i4>
  </property>
  <property fmtid="{D5CDD505-2E9C-101B-9397-08002B2CF9AE}" pid="5" name="_NewReviewCycle">
    <vt:lpwstr/>
  </property>
  <property fmtid="{D5CDD505-2E9C-101B-9397-08002B2CF9AE}" pid="6" name="_EmailSubject">
    <vt:lpwstr>EEIF Prescriptive App&amp;FS</vt:lpwstr>
  </property>
  <property fmtid="{D5CDD505-2E9C-101B-9397-08002B2CF9AE}" pid="7" name="_AuthorEmail">
    <vt:lpwstr>Douglas.Gilman@nv5.com</vt:lpwstr>
  </property>
  <property fmtid="{D5CDD505-2E9C-101B-9397-08002B2CF9AE}" pid="8" name="_AuthorEmailDisplayName">
    <vt:lpwstr>Douglas Gilman</vt:lpwstr>
  </property>
</Properties>
</file>